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codeName="ThisWorkbook" defaultThemeVersion="124226"/>
  <mc:AlternateContent xmlns:mc="http://schemas.openxmlformats.org/markup-compatibility/2006">
    <mc:Choice Requires="x15">
      <x15ac:absPath xmlns:x15ac="http://schemas.microsoft.com/office/spreadsheetml/2010/11/ac" url="/Volumes/Investor_Relations/1. IR Earnings Reporting &amp; Management /IR package &amp; GDDY financials/2021/Q2 2021/"/>
    </mc:Choice>
  </mc:AlternateContent>
  <xr:revisionPtr revIDLastSave="0" documentId="13_ncr:1_{64C8FC3B-9332-0048-BEB8-5CF1291BF80F}" xr6:coauthVersionLast="47" xr6:coauthVersionMax="47" xr10:uidLastSave="{00000000-0000-0000-0000-000000000000}"/>
  <bookViews>
    <workbookView xWindow="580" yWindow="1180" windowWidth="28460" windowHeight="18740" tabRatio="699" xr2:uid="{00000000-000D-0000-FFFF-FFFF00000000}"/>
  </bookViews>
  <sheets>
    <sheet name="Index Page " sheetId="57" r:id="rId1"/>
    <sheet name="1. Balance Sheet" sheetId="74" r:id="rId2"/>
    <sheet name="2. Income Stmt" sheetId="75" r:id="rId3"/>
    <sheet name="3. Key Metrics" sheetId="76" r:id="rId4"/>
    <sheet name="3a. Key Metrics Annual" sheetId="80" r:id="rId5"/>
    <sheet name="4. Geographic Rev" sheetId="78" r:id="rId6"/>
    <sheet name="II-4) Reconciliation " sheetId="67" state="hidden" r:id="rId7"/>
    <sheet name="5. Cash Flow" sheetId="77" r:id="rId8"/>
    <sheet name="6. Notes" sheetId="79" r:id="rId9"/>
    <sheet name="IV - Notes" sheetId="73" state="hidden" r:id="rId10"/>
    <sheet name="LinkingMetadata" sheetId="71" state="veryHidden" r:id="rId11"/>
  </sheets>
  <definedNames>
    <definedName name="_xlnm.Print_Area" localSheetId="1">'1. Balance Sheet'!$A$1:$AS$55</definedName>
    <definedName name="_xlnm.Print_Area" localSheetId="2">'2. Income Stmt'!$A$1:$AS$68</definedName>
    <definedName name="_xlnm.Print_Area" localSheetId="3">'3. Key Metrics'!$A$1:$AT$35</definedName>
    <definedName name="_xlnm.Print_Area" localSheetId="4">'3a. Key Metrics Annual'!$A$1:$I$47</definedName>
    <definedName name="_xlnm.Print_Area" localSheetId="5">'4. Geographic Rev'!$A$1:$AS$13</definedName>
    <definedName name="_xlnm.Print_Area" localSheetId="7">'5. Cash Flow'!$A$1:$AS$64</definedName>
    <definedName name="_xlnm.Print_Area" localSheetId="8">'6. Notes'!$A$1:$I$76</definedName>
    <definedName name="_xlnm.Print_Area" localSheetId="6">'II-4) Reconciliation '!$A$1:$P$53</definedName>
    <definedName name="_xlnm.Print_Area" localSheetId="0">'Index Page '!$A$1:$N$47</definedName>
    <definedName name="_xlnm.Print_Area" localSheetId="9">'IV - Notes'!$B$1:$N$66</definedName>
    <definedName name="_xlnm.Print_Titles" localSheetId="6">'II-4) Reconciliation '!$A:$B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67" i="75" l="1"/>
  <c r="AM46" i="76"/>
  <c r="AM40" i="74" l="1"/>
  <c r="AM51" i="74"/>
  <c r="AM53" i="74" s="1"/>
  <c r="AM59" i="77"/>
  <c r="AM23" i="77"/>
  <c r="AM21" i="77"/>
  <c r="AM24" i="77" s="1"/>
  <c r="AM34" i="77"/>
  <c r="AM61" i="77" l="1"/>
  <c r="AM12" i="78"/>
  <c r="AM31" i="76"/>
  <c r="AM20" i="76"/>
  <c r="AM30" i="75"/>
  <c r="AM32" i="75" s="1"/>
  <c r="AM34" i="75" s="1"/>
  <c r="AM36" i="75" s="1"/>
  <c r="AM24" i="75"/>
  <c r="AM15" i="75"/>
  <c r="AM35" i="74"/>
  <c r="AM54" i="74" s="1"/>
  <c r="AM18" i="74"/>
  <c r="AL46" i="76"/>
  <c r="AL59" i="77"/>
  <c r="AL34" i="77"/>
  <c r="AL24" i="77"/>
  <c r="AL12" i="78"/>
  <c r="AL61" i="77" l="1"/>
  <c r="AL31" i="76" l="1"/>
  <c r="AL20" i="76"/>
  <c r="AL24" i="75"/>
  <c r="AL15" i="75"/>
  <c r="AQ12" i="75"/>
  <c r="AR12" i="75"/>
  <c r="AQ13" i="75"/>
  <c r="AR13" i="75"/>
  <c r="AQ14" i="75"/>
  <c r="AR14" i="75"/>
  <c r="AO15" i="75"/>
  <c r="AP15" i="75"/>
  <c r="AQ17" i="75"/>
  <c r="AR17" i="75"/>
  <c r="AQ18" i="75"/>
  <c r="AR18" i="75"/>
  <c r="AQ19" i="75"/>
  <c r="AR19" i="75"/>
  <c r="AQ20" i="75"/>
  <c r="AR20" i="75"/>
  <c r="AR21" i="75"/>
  <c r="AQ23" i="75"/>
  <c r="AR23" i="75"/>
  <c r="AO24" i="75"/>
  <c r="AP24" i="75"/>
  <c r="AQ26" i="75"/>
  <c r="AR26" i="75"/>
  <c r="AQ27" i="75"/>
  <c r="AR27" i="75"/>
  <c r="AR28" i="75"/>
  <c r="AQ29" i="75"/>
  <c r="AR29" i="75"/>
  <c r="AQ31" i="75"/>
  <c r="AR31" i="75"/>
  <c r="AQ35" i="75"/>
  <c r="AR35" i="75"/>
  <c r="AO41" i="75"/>
  <c r="AP41" i="75"/>
  <c r="AQ41" i="75"/>
  <c r="AR41" i="75"/>
  <c r="AO46" i="75"/>
  <c r="AP46" i="75"/>
  <c r="AQ46" i="75"/>
  <c r="AR46" i="75"/>
  <c r="AR50" i="75"/>
  <c r="AR51" i="75"/>
  <c r="AR52" i="75"/>
  <c r="AR53" i="75"/>
  <c r="AQ57" i="75"/>
  <c r="AR67" i="75"/>
  <c r="AL40" i="74"/>
  <c r="AQ15" i="75" l="1"/>
  <c r="AP25" i="75"/>
  <c r="AP30" i="75" s="1"/>
  <c r="AP32" i="75" s="1"/>
  <c r="AP34" i="75" s="1"/>
  <c r="AP36" i="75" s="1"/>
  <c r="AO25" i="75"/>
  <c r="AO30" i="75" s="1"/>
  <c r="AO32" i="75" s="1"/>
  <c r="AO34" i="75" s="1"/>
  <c r="AO36" i="75" s="1"/>
  <c r="AL25" i="75"/>
  <c r="AL30" i="75" s="1"/>
  <c r="AL32" i="75" s="1"/>
  <c r="AL34" i="75" s="1"/>
  <c r="AL36" i="75" s="1"/>
  <c r="AL51" i="74" l="1"/>
  <c r="AL53" i="74" s="1"/>
  <c r="AL35" i="74"/>
  <c r="AL18" i="74"/>
  <c r="AL25" i="74" s="1"/>
  <c r="AL54" i="74" l="1"/>
  <c r="AV20" i="75" l="1"/>
  <c r="AV45" i="74"/>
  <c r="AV39" i="74"/>
  <c r="AV52" i="74"/>
  <c r="AV50" i="74"/>
  <c r="AV49" i="74"/>
  <c r="AV48" i="74"/>
  <c r="AV47" i="74"/>
  <c r="AV46" i="74"/>
  <c r="AV38" i="74"/>
  <c r="AV37" i="74"/>
  <c r="AV36" i="74"/>
  <c r="AV33" i="74"/>
  <c r="AV32" i="74"/>
  <c r="AV31" i="74"/>
  <c r="AV29" i="74"/>
  <c r="AV28" i="74"/>
  <c r="AV24" i="74"/>
  <c r="AV23" i="74"/>
  <c r="AV22" i="74"/>
  <c r="AV21" i="74"/>
  <c r="AV20" i="74"/>
  <c r="AV19" i="74"/>
  <c r="AV16" i="74"/>
  <c r="AV15" i="74"/>
  <c r="AV14" i="74"/>
  <c r="AV13" i="74"/>
  <c r="AV12" i="74"/>
  <c r="AV11" i="74"/>
  <c r="AV67" i="75"/>
  <c r="AJ59" i="77" l="1"/>
  <c r="AJ34" i="77"/>
  <c r="AJ24" i="77"/>
  <c r="AV60" i="77"/>
  <c r="AV58" i="77"/>
  <c r="AV57" i="77"/>
  <c r="AV56" i="77"/>
  <c r="AV55" i="77"/>
  <c r="AV54" i="77"/>
  <c r="AV53" i="77"/>
  <c r="AV52" i="77"/>
  <c r="AV51" i="77"/>
  <c r="AV50" i="77"/>
  <c r="AV49" i="77"/>
  <c r="AV48" i="77"/>
  <c r="AV47" i="77"/>
  <c r="AV46" i="77"/>
  <c r="AV45" i="77"/>
  <c r="AV44" i="77"/>
  <c r="AV43" i="77"/>
  <c r="AV42" i="77"/>
  <c r="AV41" i="77"/>
  <c r="AV40" i="77"/>
  <c r="AV39" i="77"/>
  <c r="AV33" i="77"/>
  <c r="AV32" i="77"/>
  <c r="AV31" i="77"/>
  <c r="AV30" i="77"/>
  <c r="AV29" i="77"/>
  <c r="AV28" i="77"/>
  <c r="AV27" i="77"/>
  <c r="AV23" i="77"/>
  <c r="AV22" i="77"/>
  <c r="AV21" i="77"/>
  <c r="AV20" i="77"/>
  <c r="AV19" i="77"/>
  <c r="AV18" i="77"/>
  <c r="AV17" i="77"/>
  <c r="AV16" i="77"/>
  <c r="AV15" i="77"/>
  <c r="AV14" i="77"/>
  <c r="AV13" i="77"/>
  <c r="AV12" i="77"/>
  <c r="AV10" i="77"/>
  <c r="AV11" i="78"/>
  <c r="AV10" i="78"/>
  <c r="AV12" i="78" s="1"/>
  <c r="AJ12" i="78"/>
  <c r="L40" i="80"/>
  <c r="AU12" i="76"/>
  <c r="AJ46" i="76"/>
  <c r="AJ31" i="76"/>
  <c r="AV44" i="76"/>
  <c r="AV43" i="76"/>
  <c r="AV42" i="76"/>
  <c r="AV41" i="76"/>
  <c r="AV40" i="76"/>
  <c r="AV39" i="76"/>
  <c r="AV38" i="76"/>
  <c r="AV37" i="76"/>
  <c r="AV36" i="76"/>
  <c r="AV30" i="76"/>
  <c r="L27" i="80" s="1"/>
  <c r="AV29" i="76"/>
  <c r="L26" i="80" s="1"/>
  <c r="AV28" i="76"/>
  <c r="L25" i="80" s="1"/>
  <c r="AV27" i="76"/>
  <c r="L24" i="80" s="1"/>
  <c r="AV26" i="76"/>
  <c r="L23" i="80" s="1"/>
  <c r="AV25" i="76"/>
  <c r="L22" i="80" s="1"/>
  <c r="AV24" i="76"/>
  <c r="L21" i="80" s="1"/>
  <c r="AV23" i="76"/>
  <c r="L20" i="80" s="1"/>
  <c r="AV19" i="76"/>
  <c r="L16" i="80" s="1"/>
  <c r="AV18" i="76"/>
  <c r="L15" i="80" s="1"/>
  <c r="AV17" i="76"/>
  <c r="L14" i="80" s="1"/>
  <c r="AV16" i="76"/>
  <c r="L13" i="80" s="1"/>
  <c r="AJ20" i="76"/>
  <c r="AJ61" i="77" l="1"/>
  <c r="L28" i="80"/>
  <c r="L17" i="80"/>
  <c r="AV59" i="77"/>
  <c r="AV34" i="77"/>
  <c r="AV24" i="77"/>
  <c r="AV61" i="77" l="1"/>
  <c r="AJ24" i="75" l="1"/>
  <c r="AJ15" i="75"/>
  <c r="AJ25" i="75" s="1"/>
  <c r="AJ30" i="75" s="1"/>
  <c r="AJ32" i="75" s="1"/>
  <c r="AV63" i="75"/>
  <c r="AV61" i="75"/>
  <c r="AV59" i="75"/>
  <c r="AV57" i="75"/>
  <c r="AV55" i="75"/>
  <c r="AV53" i="75"/>
  <c r="AV52" i="75"/>
  <c r="AV51" i="75"/>
  <c r="AV50" i="75"/>
  <c r="AV49" i="75"/>
  <c r="AV47" i="75"/>
  <c r="AV35" i="75"/>
  <c r="AV33" i="75"/>
  <c r="AV31" i="75"/>
  <c r="AV29" i="75"/>
  <c r="AV28" i="75"/>
  <c r="AV27" i="75"/>
  <c r="AV26" i="75"/>
  <c r="AV23" i="75"/>
  <c r="AV22" i="75"/>
  <c r="AV21" i="75"/>
  <c r="AV19" i="75"/>
  <c r="AV18" i="75"/>
  <c r="AV17" i="75"/>
  <c r="AV14" i="75"/>
  <c r="AV13" i="75"/>
  <c r="AV12" i="75"/>
  <c r="AU12" i="75"/>
  <c r="AJ40" i="74"/>
  <c r="AV40" i="74" s="1"/>
  <c r="AJ51" i="74"/>
  <c r="AV51" i="74" s="1"/>
  <c r="AJ35" i="74"/>
  <c r="AV35" i="74" s="1"/>
  <c r="AJ18" i="74"/>
  <c r="AV18" i="74" s="1"/>
  <c r="AU12" i="74"/>
  <c r="AU11" i="74"/>
  <c r="AJ25" i="74" l="1"/>
  <c r="AV25" i="74" s="1"/>
  <c r="AJ34" i="75"/>
  <c r="AJ53" i="74"/>
  <c r="AV53" i="74" s="1"/>
  <c r="AI59" i="77"/>
  <c r="AI40" i="74"/>
  <c r="AI34" i="77"/>
  <c r="AI24" i="77"/>
  <c r="AI12" i="78"/>
  <c r="AI46" i="76"/>
  <c r="AI31" i="76"/>
  <c r="AI20" i="76"/>
  <c r="AI24" i="75"/>
  <c r="AI15" i="75"/>
  <c r="AI51" i="74"/>
  <c r="AI53" i="74" s="1"/>
  <c r="AI35" i="74"/>
  <c r="AI18" i="74"/>
  <c r="AI25" i="74" s="1"/>
  <c r="AH18" i="74"/>
  <c r="AJ36" i="75" l="1"/>
  <c r="AJ54" i="74"/>
  <c r="AV54" i="74" s="1"/>
  <c r="AI61" i="77"/>
  <c r="AI25" i="75"/>
  <c r="AI30" i="75" s="1"/>
  <c r="AI32" i="75" s="1"/>
  <c r="AI34" i="75" s="1"/>
  <c r="AI36" i="75" s="1"/>
  <c r="AI54" i="74"/>
  <c r="AH24" i="77"/>
  <c r="AH34" i="77"/>
  <c r="AH38" i="77"/>
  <c r="AH59" i="77" s="1"/>
  <c r="W31" i="76"/>
  <c r="X31" i="76"/>
  <c r="Z31" i="76"/>
  <c r="AH61" i="77" l="1"/>
  <c r="AH24" i="75"/>
  <c r="AB31" i="76"/>
  <c r="AC31" i="76"/>
  <c r="AD31" i="76"/>
  <c r="AE31" i="76"/>
  <c r="AG31" i="76"/>
  <c r="AH31" i="76"/>
  <c r="AV31" i="76" l="1"/>
  <c r="AT22" i="75"/>
  <c r="AH35" i="74"/>
  <c r="AH40" i="74"/>
  <c r="AH12" i="78"/>
  <c r="AH46" i="76"/>
  <c r="AH20" i="76"/>
  <c r="AH51" i="74"/>
  <c r="AH53" i="74" s="1"/>
  <c r="AH15" i="75"/>
  <c r="AH25" i="75" l="1"/>
  <c r="AH30" i="75" s="1"/>
  <c r="AH32" i="75" s="1"/>
  <c r="AH34" i="75" s="1"/>
  <c r="AH36" i="75" s="1"/>
  <c r="AH54" i="74"/>
  <c r="AH25" i="74"/>
  <c r="AG59" i="77"/>
  <c r="AG34" i="77"/>
  <c r="AG24" i="77"/>
  <c r="AG12" i="78"/>
  <c r="AB46" i="76"/>
  <c r="AC46" i="76"/>
  <c r="AD46" i="76"/>
  <c r="AE46" i="76"/>
  <c r="AG46" i="76"/>
  <c r="AV46" i="76" s="1"/>
  <c r="AG20" i="76"/>
  <c r="AG24" i="75"/>
  <c r="AV24" i="75" s="1"/>
  <c r="AG15" i="75"/>
  <c r="AV15" i="75" s="1"/>
  <c r="AG40" i="74"/>
  <c r="AG51" i="74"/>
  <c r="AG53" i="74" s="1"/>
  <c r="AG35" i="74"/>
  <c r="AG18" i="74"/>
  <c r="AG25" i="74" s="1"/>
  <c r="AG61" i="77" l="1"/>
  <c r="AG11" i="76"/>
  <c r="AV11" i="76" s="1"/>
  <c r="AV20" i="76"/>
  <c r="AG25" i="75"/>
  <c r="AG54" i="74"/>
  <c r="AU33" i="77"/>
  <c r="AG30" i="75" l="1"/>
  <c r="AV25" i="75"/>
  <c r="AU58" i="77"/>
  <c r="AU59" i="77" s="1"/>
  <c r="AE60" i="77"/>
  <c r="AE41" i="77"/>
  <c r="AE42" i="77"/>
  <c r="AE43" i="77"/>
  <c r="AE44" i="77"/>
  <c r="AE45" i="77"/>
  <c r="AE46" i="77"/>
  <c r="AE47" i="77"/>
  <c r="AE50" i="77"/>
  <c r="AE51" i="77"/>
  <c r="AE52" i="77"/>
  <c r="AE53" i="77"/>
  <c r="AE54" i="77"/>
  <c r="AE55" i="77"/>
  <c r="AE56" i="77"/>
  <c r="AE57" i="77"/>
  <c r="AE40" i="77"/>
  <c r="AE28" i="77"/>
  <c r="AE29" i="77"/>
  <c r="AE30" i="77"/>
  <c r="AE31" i="77"/>
  <c r="AE32" i="77"/>
  <c r="AE33" i="77"/>
  <c r="AE27" i="77"/>
  <c r="AE13" i="77"/>
  <c r="AE15" i="77"/>
  <c r="AE16" i="77"/>
  <c r="AE20" i="77"/>
  <c r="AE21" i="77"/>
  <c r="AE22" i="77"/>
  <c r="AU34" i="77"/>
  <c r="AU18" i="77"/>
  <c r="AU23" i="77"/>
  <c r="AU11" i="78"/>
  <c r="AU10" i="78"/>
  <c r="AU12" i="78" s="1"/>
  <c r="AE12" i="78"/>
  <c r="AG32" i="75" l="1"/>
  <c r="AV30" i="75"/>
  <c r="AU24" i="77"/>
  <c r="AU61" i="77" s="1"/>
  <c r="AE34" i="77"/>
  <c r="AG34" i="75" l="1"/>
  <c r="AV32" i="75"/>
  <c r="AU24" i="76"/>
  <c r="AU25" i="76"/>
  <c r="K22" i="80" s="1"/>
  <c r="AU26" i="76"/>
  <c r="K23" i="80" s="1"/>
  <c r="AU27" i="76"/>
  <c r="K24" i="80" s="1"/>
  <c r="AU28" i="76"/>
  <c r="K25" i="80" s="1"/>
  <c r="AU29" i="76"/>
  <c r="K26" i="80" s="1"/>
  <c r="AU23" i="76"/>
  <c r="K20" i="80" s="1"/>
  <c r="AU17" i="76"/>
  <c r="K14" i="80" s="1"/>
  <c r="AU18" i="76"/>
  <c r="K15" i="80" s="1"/>
  <c r="AU19" i="76"/>
  <c r="K16" i="80" s="1"/>
  <c r="AU16" i="76"/>
  <c r="K13" i="80" s="1"/>
  <c r="AU13" i="76"/>
  <c r="AE20" i="76"/>
  <c r="AE11" i="76" s="1"/>
  <c r="AG36" i="75" l="1"/>
  <c r="AV36" i="75" s="1"/>
  <c r="AV34" i="75"/>
  <c r="K21" i="80"/>
  <c r="AU31" i="76"/>
  <c r="AU67" i="75"/>
  <c r="AU51" i="75" l="1"/>
  <c r="AU52" i="75"/>
  <c r="AU53" i="75"/>
  <c r="AU55" i="75"/>
  <c r="AU57" i="75"/>
  <c r="AU59" i="75"/>
  <c r="AU61" i="75"/>
  <c r="AU63" i="75"/>
  <c r="AU49" i="75"/>
  <c r="AU50" i="75"/>
  <c r="AU13" i="75"/>
  <c r="AU14" i="75"/>
  <c r="AU17" i="75"/>
  <c r="AU18" i="75"/>
  <c r="AU19" i="75"/>
  <c r="AU20" i="75"/>
  <c r="AU21" i="75"/>
  <c r="AU23" i="75"/>
  <c r="AU26" i="75"/>
  <c r="AU27" i="75"/>
  <c r="AU28" i="75"/>
  <c r="AU29" i="75"/>
  <c r="AU31" i="75"/>
  <c r="AU33" i="75"/>
  <c r="AU35" i="75"/>
  <c r="AE24" i="75"/>
  <c r="AE15" i="75"/>
  <c r="AE40" i="74"/>
  <c r="AU40" i="74" s="1"/>
  <c r="AE51" i="74"/>
  <c r="AU51" i="74" s="1"/>
  <c r="AE35" i="74"/>
  <c r="AU35" i="74" s="1"/>
  <c r="AE18" i="74"/>
  <c r="AU18" i="74" s="1"/>
  <c r="AU13" i="74"/>
  <c r="AU14" i="74"/>
  <c r="AU15" i="74"/>
  <c r="AU16" i="74"/>
  <c r="AU17" i="74"/>
  <c r="AU19" i="74"/>
  <c r="AU20" i="74"/>
  <c r="AU21" i="74"/>
  <c r="AU22" i="74"/>
  <c r="AU23" i="74"/>
  <c r="AU24" i="74"/>
  <c r="AU28" i="74"/>
  <c r="AU29" i="74"/>
  <c r="AU33" i="74"/>
  <c r="AU30" i="74"/>
  <c r="AU31" i="74"/>
  <c r="AU32" i="74"/>
  <c r="AU34" i="74"/>
  <c r="AU36" i="74"/>
  <c r="AU37" i="74"/>
  <c r="AU38" i="74"/>
  <c r="AU39" i="74"/>
  <c r="AU42" i="74"/>
  <c r="AU44" i="74"/>
  <c r="AU45" i="74"/>
  <c r="AU46" i="74"/>
  <c r="AU47" i="74"/>
  <c r="AU48" i="74"/>
  <c r="AU49" i="74"/>
  <c r="AU50" i="74"/>
  <c r="AU52" i="74"/>
  <c r="AE25" i="74" l="1"/>
  <c r="AU25" i="74" s="1"/>
  <c r="AE25" i="75"/>
  <c r="AE53" i="74"/>
  <c r="AU53" i="74" s="1"/>
  <c r="AC18" i="77"/>
  <c r="AD59" i="77"/>
  <c r="AD34" i="77"/>
  <c r="AD12" i="77"/>
  <c r="AC59" i="77"/>
  <c r="AC34" i="77"/>
  <c r="AC12" i="77"/>
  <c r="AD12" i="78"/>
  <c r="AC12" i="78"/>
  <c r="AD20" i="76"/>
  <c r="AD11" i="76" s="1"/>
  <c r="AU11" i="76" s="1"/>
  <c r="AC20" i="76"/>
  <c r="AD24" i="75"/>
  <c r="AD15" i="75"/>
  <c r="AC24" i="75"/>
  <c r="AC15" i="75"/>
  <c r="AD51" i="74"/>
  <c r="AD53" i="74" s="1"/>
  <c r="AD40" i="74"/>
  <c r="AD35" i="74"/>
  <c r="AD18" i="74"/>
  <c r="AD25" i="74" s="1"/>
  <c r="AC51" i="74"/>
  <c r="AC53" i="74" s="1"/>
  <c r="AC40" i="74"/>
  <c r="AC35" i="74"/>
  <c r="AC18" i="74"/>
  <c r="AC25" i="74" s="1"/>
  <c r="AC25" i="75" l="1"/>
  <c r="AC30" i="75" s="1"/>
  <c r="AC32" i="75" s="1"/>
  <c r="AC34" i="75" s="1"/>
  <c r="AC36" i="75" s="1"/>
  <c r="AE12" i="77"/>
  <c r="AD54" i="74"/>
  <c r="AE30" i="75"/>
  <c r="AE54" i="74"/>
  <c r="AU54" i="74" s="1"/>
  <c r="AC10" i="77"/>
  <c r="AC54" i="74"/>
  <c r="AD25" i="75"/>
  <c r="AD30" i="75" s="1"/>
  <c r="AD32" i="75" s="1"/>
  <c r="AD34" i="75" s="1"/>
  <c r="AC24" i="77" l="1"/>
  <c r="AC61" i="77" s="1"/>
  <c r="AE32" i="75"/>
  <c r="AD36" i="75"/>
  <c r="AD10" i="77"/>
  <c r="AD24" i="77" s="1"/>
  <c r="AD61" i="77" s="1"/>
  <c r="F50" i="75"/>
  <c r="AS50" i="75"/>
  <c r="AT50" i="75"/>
  <c r="AB58" i="77"/>
  <c r="AB34" i="77"/>
  <c r="AB23" i="77"/>
  <c r="AE23" i="77" s="1"/>
  <c r="AB18" i="77"/>
  <c r="AB12" i="78"/>
  <c r="K28" i="80"/>
  <c r="AB20" i="76"/>
  <c r="AU20" i="76" s="1"/>
  <c r="K17" i="80" s="1"/>
  <c r="AB24" i="75"/>
  <c r="AU24" i="75" s="1"/>
  <c r="AB15" i="75"/>
  <c r="AU15" i="75" s="1"/>
  <c r="AB51" i="74"/>
  <c r="AB53" i="74" s="1"/>
  <c r="AB40" i="74"/>
  <c r="AB35" i="74"/>
  <c r="AB18" i="74"/>
  <c r="AB25" i="74" s="1"/>
  <c r="AB24" i="77" l="1"/>
  <c r="AE18" i="77"/>
  <c r="AB59" i="77"/>
  <c r="AE58" i="77"/>
  <c r="AE59" i="77" s="1"/>
  <c r="AE10" i="77"/>
  <c r="AE34" i="75"/>
  <c r="AB54" i="74"/>
  <c r="AB25" i="75"/>
  <c r="AB61" i="77" l="1"/>
  <c r="AE24" i="77"/>
  <c r="AE61" i="77" s="1"/>
  <c r="AB30" i="75"/>
  <c r="AU25" i="75"/>
  <c r="AE36" i="75"/>
  <c r="Z51" i="74"/>
  <c r="AB32" i="75" l="1"/>
  <c r="AU30" i="75"/>
  <c r="Z57" i="77"/>
  <c r="Z55" i="77"/>
  <c r="Z54" i="77"/>
  <c r="Z53" i="77"/>
  <c r="Z52" i="77"/>
  <c r="Z50" i="77"/>
  <c r="Z47" i="77"/>
  <c r="Z46" i="77"/>
  <c r="Z45" i="77"/>
  <c r="Z44" i="77"/>
  <c r="Z43" i="77"/>
  <c r="Z41" i="77"/>
  <c r="Z38" i="77"/>
  <c r="Z33" i="77"/>
  <c r="Z31" i="77"/>
  <c r="Z13" i="77"/>
  <c r="AB34" i="75" l="1"/>
  <c r="AU32" i="75"/>
  <c r="AS16" i="77"/>
  <c r="Y12" i="77"/>
  <c r="Z12" i="77" s="1"/>
  <c r="Z15" i="77"/>
  <c r="Z16" i="77"/>
  <c r="AT59" i="77"/>
  <c r="AT34" i="77"/>
  <c r="AT18" i="77"/>
  <c r="AT23" i="77"/>
  <c r="AB36" i="75" l="1"/>
  <c r="AU36" i="75" s="1"/>
  <c r="AU34" i="75"/>
  <c r="AT24" i="77"/>
  <c r="AT61" i="77" s="1"/>
  <c r="AT11" i="78"/>
  <c r="AT10" i="78"/>
  <c r="Z12" i="78"/>
  <c r="AT12" i="78" l="1"/>
  <c r="B28" i="80"/>
  <c r="C28" i="80"/>
  <c r="D28" i="80"/>
  <c r="E28" i="80"/>
  <c r="F28" i="80"/>
  <c r="A26" i="80"/>
  <c r="AT12" i="76"/>
  <c r="AT29" i="76"/>
  <c r="J26" i="80" s="1"/>
  <c r="AT24" i="76"/>
  <c r="J21" i="80" s="1"/>
  <c r="AT26" i="76"/>
  <c r="J23" i="80" s="1"/>
  <c r="AT27" i="76"/>
  <c r="J24" i="80" s="1"/>
  <c r="AT28" i="76"/>
  <c r="J25" i="80" s="1"/>
  <c r="AT23" i="76"/>
  <c r="AT19" i="76"/>
  <c r="J16" i="80" s="1"/>
  <c r="AT17" i="76"/>
  <c r="J14" i="80" s="1"/>
  <c r="AT18" i="76"/>
  <c r="J15" i="80" s="1"/>
  <c r="AT16" i="76"/>
  <c r="AT13" i="76"/>
  <c r="AS24" i="76"/>
  <c r="I21" i="80" s="1"/>
  <c r="AS25" i="76"/>
  <c r="I22" i="80" s="1"/>
  <c r="AS26" i="76"/>
  <c r="I23" i="80" s="1"/>
  <c r="AS27" i="76"/>
  <c r="I24" i="80" s="1"/>
  <c r="AS28" i="76"/>
  <c r="I25" i="80" s="1"/>
  <c r="AS23" i="76"/>
  <c r="I20" i="80" s="1"/>
  <c r="AS19" i="76"/>
  <c r="I16" i="80" s="1"/>
  <c r="AS18" i="76"/>
  <c r="I15" i="80" s="1"/>
  <c r="AS17" i="76"/>
  <c r="I14" i="80" s="1"/>
  <c r="AS16" i="76"/>
  <c r="AS13" i="76"/>
  <c r="AS12" i="76"/>
  <c r="Y25" i="76"/>
  <c r="Y31" i="76" s="1"/>
  <c r="Y20" i="76"/>
  <c r="J20" i="80" l="1"/>
  <c r="I28" i="80"/>
  <c r="AS31" i="76"/>
  <c r="AT25" i="76"/>
  <c r="AT31" i="76" s="1"/>
  <c r="AS20" i="76"/>
  <c r="AS11" i="76" s="1"/>
  <c r="J22" i="80" l="1"/>
  <c r="J28" i="80" s="1"/>
  <c r="Z67" i="75"/>
  <c r="AT67" i="75" l="1"/>
  <c r="AT51" i="75"/>
  <c r="AT52" i="75"/>
  <c r="AT53" i="75"/>
  <c r="AT55" i="75"/>
  <c r="AT57" i="75"/>
  <c r="AT59" i="75"/>
  <c r="AT61" i="75"/>
  <c r="AT63" i="75"/>
  <c r="AT13" i="75"/>
  <c r="AT14" i="75"/>
  <c r="AT17" i="75"/>
  <c r="AT18" i="75"/>
  <c r="AT19" i="75"/>
  <c r="AT20" i="75"/>
  <c r="AT21" i="75"/>
  <c r="AT23" i="75"/>
  <c r="AT26" i="75"/>
  <c r="AT27" i="75"/>
  <c r="AT28" i="75"/>
  <c r="AT29" i="75"/>
  <c r="AT31" i="75"/>
  <c r="AT33" i="75"/>
  <c r="AT35" i="75"/>
  <c r="AT12" i="75"/>
  <c r="Y67" i="75"/>
  <c r="Y24" i="75"/>
  <c r="Y15" i="75"/>
  <c r="Z40" i="74"/>
  <c r="AT40" i="74" s="1"/>
  <c r="AT12" i="74"/>
  <c r="AT13" i="74"/>
  <c r="AT14" i="74"/>
  <c r="AT15" i="74"/>
  <c r="AT16" i="74"/>
  <c r="AT17" i="74"/>
  <c r="AT19" i="74"/>
  <c r="AT21" i="74"/>
  <c r="AT22" i="74"/>
  <c r="AT23" i="74"/>
  <c r="AT24" i="74"/>
  <c r="AT28" i="74"/>
  <c r="AT29" i="74"/>
  <c r="AT33" i="74"/>
  <c r="AT30" i="74"/>
  <c r="AT31" i="74"/>
  <c r="AT32" i="74"/>
  <c r="AT34" i="74"/>
  <c r="AT36" i="74"/>
  <c r="AT37" i="74"/>
  <c r="AT39" i="74"/>
  <c r="AT42" i="74"/>
  <c r="AT44" i="74"/>
  <c r="AT45" i="74"/>
  <c r="AT46" i="74"/>
  <c r="AT47" i="74"/>
  <c r="AT48" i="74"/>
  <c r="AT49" i="74"/>
  <c r="AT50" i="74"/>
  <c r="AT52" i="74"/>
  <c r="AT11" i="74"/>
  <c r="Y51" i="74"/>
  <c r="Y53" i="74" s="1"/>
  <c r="Y40" i="74"/>
  <c r="Y35" i="74"/>
  <c r="Y18" i="74"/>
  <c r="Y25" i="74" s="1"/>
  <c r="Y25" i="75" l="1"/>
  <c r="Y30" i="75" s="1"/>
  <c r="Y32" i="75" s="1"/>
  <c r="Y54" i="74"/>
  <c r="Y34" i="75" l="1"/>
  <c r="Z20" i="76"/>
  <c r="Z11" i="76" s="1"/>
  <c r="Y10" i="77" l="1"/>
  <c r="Z10" i="77" s="1"/>
  <c r="Y36" i="75"/>
  <c r="Y20" i="77"/>
  <c r="Z20" i="77" s="1"/>
  <c r="Y21" i="77"/>
  <c r="Z21" i="77" s="1"/>
  <c r="Y22" i="77"/>
  <c r="Z22" i="77" s="1"/>
  <c r="Y18" i="77"/>
  <c r="Z18" i="77" s="1"/>
  <c r="Y58" i="77"/>
  <c r="Z58" i="77" s="1"/>
  <c r="Y60" i="77"/>
  <c r="Z60" i="77" s="1"/>
  <c r="Y56" i="77"/>
  <c r="Z56" i="77" s="1"/>
  <c r="Y42" i="77"/>
  <c r="Z42" i="77" s="1"/>
  <c r="Z59" i="77" l="1"/>
  <c r="Y59" i="77"/>
  <c r="Y32" i="77"/>
  <c r="Z32" i="77" s="1"/>
  <c r="W34" i="77"/>
  <c r="X34" i="77"/>
  <c r="Y30" i="77"/>
  <c r="Z30" i="77" s="1"/>
  <c r="Y29" i="77"/>
  <c r="Z29" i="77" s="1"/>
  <c r="Y28" i="77"/>
  <c r="Z28" i="77" s="1"/>
  <c r="Y27" i="77"/>
  <c r="Z27" i="77" s="1"/>
  <c r="Y12" i="78"/>
  <c r="Z34" i="77" l="1"/>
  <c r="Y34" i="77"/>
  <c r="Z24" i="75"/>
  <c r="Z15" i="75"/>
  <c r="Z35" i="74"/>
  <c r="AT35" i="74" s="1"/>
  <c r="Z18" i="74"/>
  <c r="Z25" i="75" l="1"/>
  <c r="Z53" i="74"/>
  <c r="AT53" i="74" s="1"/>
  <c r="AT51" i="74"/>
  <c r="Z25" i="74"/>
  <c r="AT25" i="74" s="1"/>
  <c r="AT18" i="74"/>
  <c r="X67" i="75"/>
  <c r="Z30" i="75" l="1"/>
  <c r="Z32" i="75" s="1"/>
  <c r="Z34" i="75" s="1"/>
  <c r="Z36" i="75" s="1"/>
  <c r="Z54" i="74"/>
  <c r="AT54" i="74" s="1"/>
  <c r="W59" i="77"/>
  <c r="W23" i="77"/>
  <c r="W12" i="78"/>
  <c r="W20" i="76"/>
  <c r="W11" i="76" s="1"/>
  <c r="X24" i="75"/>
  <c r="X15" i="75"/>
  <c r="X40" i="74"/>
  <c r="X51" i="74"/>
  <c r="X53" i="74" s="1"/>
  <c r="X35" i="74"/>
  <c r="X18" i="74"/>
  <c r="X25" i="74" s="1"/>
  <c r="W24" i="77" l="1"/>
  <c r="W61" i="77" s="1"/>
  <c r="Y23" i="77"/>
  <c r="Z23" i="77" s="1"/>
  <c r="Z24" i="77" s="1"/>
  <c r="Z61" i="77" s="1"/>
  <c r="X25" i="75"/>
  <c r="X30" i="75" s="1"/>
  <c r="X32" i="75" s="1"/>
  <c r="X34" i="75" s="1"/>
  <c r="X36" i="75" s="1"/>
  <c r="X54" i="74"/>
  <c r="AS63" i="75"/>
  <c r="AS61" i="75"/>
  <c r="Y24" i="77" l="1"/>
  <c r="Y61" i="77" s="1"/>
  <c r="AS55" i="77"/>
  <c r="AS54" i="77"/>
  <c r="AS53" i="77"/>
  <c r="AS52" i="77"/>
  <c r="AS50" i="77"/>
  <c r="AS47" i="77"/>
  <c r="AS46" i="77"/>
  <c r="AS45" i="77"/>
  <c r="AS44" i="77"/>
  <c r="AS38" i="77"/>
  <c r="AS33" i="77"/>
  <c r="AS31" i="77"/>
  <c r="AS30" i="77"/>
  <c r="AT20" i="76" l="1"/>
  <c r="X24" i="77"/>
  <c r="X59" i="77"/>
  <c r="X12" i="78"/>
  <c r="X20" i="76"/>
  <c r="W67" i="75"/>
  <c r="W24" i="75"/>
  <c r="AT24" i="75" s="1"/>
  <c r="W15" i="75"/>
  <c r="W40" i="74"/>
  <c r="W51" i="74"/>
  <c r="W53" i="74" s="1"/>
  <c r="W35" i="74"/>
  <c r="W18" i="74"/>
  <c r="W25" i="74" s="1"/>
  <c r="AT15" i="75" l="1"/>
  <c r="X61" i="77"/>
  <c r="W25" i="75"/>
  <c r="W54" i="74"/>
  <c r="U40" i="75"/>
  <c r="J13" i="80" l="1"/>
  <c r="W30" i="75"/>
  <c r="AT25" i="75"/>
  <c r="U58" i="77"/>
  <c r="U43" i="77"/>
  <c r="AS43" i="77" s="1"/>
  <c r="U42" i="77"/>
  <c r="J17" i="80" l="1"/>
  <c r="W32" i="75"/>
  <c r="AT30" i="75"/>
  <c r="U59" i="77"/>
  <c r="U34" i="77"/>
  <c r="U24" i="77"/>
  <c r="W34" i="75" l="1"/>
  <c r="W36" i="75" s="1"/>
  <c r="AT32" i="75"/>
  <c r="AT34" i="75" s="1"/>
  <c r="AT36" i="75" s="1"/>
  <c r="U61" i="77"/>
  <c r="U67" i="75" l="1"/>
  <c r="U31" i="76" l="1"/>
  <c r="U20" i="76"/>
  <c r="U11" i="76" s="1"/>
  <c r="AS11" i="78"/>
  <c r="AS10" i="78"/>
  <c r="U12" i="78"/>
  <c r="AS51" i="75"/>
  <c r="AS52" i="75"/>
  <c r="AS53" i="75"/>
  <c r="AS55" i="75"/>
  <c r="AS57" i="75"/>
  <c r="AS59" i="75"/>
  <c r="AS43" i="75"/>
  <c r="AS40" i="75"/>
  <c r="AS13" i="75"/>
  <c r="AS14" i="75"/>
  <c r="AS16" i="75"/>
  <c r="AS17" i="75"/>
  <c r="AS18" i="75"/>
  <c r="AS19" i="75"/>
  <c r="AS20" i="75"/>
  <c r="AS21" i="75"/>
  <c r="AS23" i="75"/>
  <c r="AS26" i="75"/>
  <c r="AS27" i="75"/>
  <c r="AS28" i="75"/>
  <c r="AS29" i="75"/>
  <c r="AS31" i="75"/>
  <c r="AS33" i="75"/>
  <c r="AS35" i="75"/>
  <c r="AS12" i="75"/>
  <c r="U43" i="75"/>
  <c r="U24" i="75"/>
  <c r="U15" i="75"/>
  <c r="AS29" i="74"/>
  <c r="AS33" i="74"/>
  <c r="AS30" i="74"/>
  <c r="AS31" i="74"/>
  <c r="AS32" i="74"/>
  <c r="AS34" i="74"/>
  <c r="AS36" i="74"/>
  <c r="AS37" i="74"/>
  <c r="AS39" i="74"/>
  <c r="AS42" i="74"/>
  <c r="AS44" i="74"/>
  <c r="AS45" i="74"/>
  <c r="AS46" i="74"/>
  <c r="AS47" i="74"/>
  <c r="AS48" i="74"/>
  <c r="AS49" i="74"/>
  <c r="AS50" i="74"/>
  <c r="AS52" i="74"/>
  <c r="AS28" i="74"/>
  <c r="U40" i="74"/>
  <c r="AS40" i="74" s="1"/>
  <c r="AS12" i="78" l="1"/>
  <c r="U25" i="75"/>
  <c r="U30" i="75" s="1"/>
  <c r="U32" i="75" s="1"/>
  <c r="U34" i="75" s="1"/>
  <c r="U36" i="75" s="1"/>
  <c r="AT11" i="76"/>
  <c r="AS12" i="74"/>
  <c r="AS13" i="74"/>
  <c r="AS14" i="74"/>
  <c r="AS15" i="74"/>
  <c r="AS16" i="74"/>
  <c r="AS17" i="74"/>
  <c r="AS19" i="74"/>
  <c r="AS21" i="74"/>
  <c r="AS22" i="74"/>
  <c r="AS23" i="74"/>
  <c r="AS24" i="74"/>
  <c r="AS11" i="74"/>
  <c r="U51" i="74"/>
  <c r="U35" i="74"/>
  <c r="AS35" i="74" s="1"/>
  <c r="U18" i="74"/>
  <c r="AS18" i="74" s="1"/>
  <c r="U53" i="74" l="1"/>
  <c r="AS53" i="74" s="1"/>
  <c r="AS51" i="74"/>
  <c r="U25" i="74"/>
  <c r="AS25" i="74" s="1"/>
  <c r="T18" i="74"/>
  <c r="U54" i="74" l="1"/>
  <c r="AS54" i="74" s="1"/>
  <c r="S31" i="76"/>
  <c r="S20" i="76"/>
  <c r="P58" i="77" l="1"/>
  <c r="M58" i="77"/>
  <c r="T60" i="77"/>
  <c r="AS60" i="77" s="1"/>
  <c r="T56" i="77"/>
  <c r="AS56" i="77" s="1"/>
  <c r="T58" i="77"/>
  <c r="AS58" i="77" s="1"/>
  <c r="AR55" i="77"/>
  <c r="AQ55" i="77"/>
  <c r="T57" i="77"/>
  <c r="AS57" i="77" s="1"/>
  <c r="T41" i="77"/>
  <c r="AS41" i="77" s="1"/>
  <c r="T42" i="77"/>
  <c r="AS42" i="77" s="1"/>
  <c r="AR31" i="77"/>
  <c r="T29" i="77"/>
  <c r="AS29" i="77" s="1"/>
  <c r="T28" i="77"/>
  <c r="AS28" i="77" s="1"/>
  <c r="T27" i="77"/>
  <c r="AS27" i="77" s="1"/>
  <c r="T23" i="77"/>
  <c r="AS23" i="77" s="1"/>
  <c r="T21" i="77"/>
  <c r="AS21" i="77" s="1"/>
  <c r="T22" i="77"/>
  <c r="AS22" i="77" s="1"/>
  <c r="T20" i="77"/>
  <c r="AS20" i="77" s="1"/>
  <c r="T15" i="77"/>
  <c r="AS15" i="77" s="1"/>
  <c r="S18" i="77"/>
  <c r="S59" i="77"/>
  <c r="S34" i="77"/>
  <c r="S13" i="77"/>
  <c r="S12" i="77"/>
  <c r="S12" i="78"/>
  <c r="S67" i="75"/>
  <c r="S43" i="75"/>
  <c r="S40" i="75"/>
  <c r="S24" i="75"/>
  <c r="S15" i="75"/>
  <c r="T40" i="74"/>
  <c r="S51" i="74"/>
  <c r="S53" i="74" s="1"/>
  <c r="S40" i="74"/>
  <c r="S35" i="74"/>
  <c r="S18" i="74"/>
  <c r="S25" i="74" s="1"/>
  <c r="AS59" i="77" l="1"/>
  <c r="AS34" i="77"/>
  <c r="T18" i="77"/>
  <c r="AS18" i="77" s="1"/>
  <c r="S25" i="75"/>
  <c r="S30" i="75" s="1"/>
  <c r="S32" i="75" s="1"/>
  <c r="S34" i="75" s="1"/>
  <c r="S36" i="75" s="1"/>
  <c r="S54" i="74"/>
  <c r="S10" i="77" l="1"/>
  <c r="S24" i="77" s="1"/>
  <c r="S61" i="77" s="1"/>
  <c r="AO35" i="74"/>
  <c r="AO18" i="74"/>
  <c r="T43" i="75"/>
  <c r="T40" i="75"/>
  <c r="T31" i="76" l="1"/>
  <c r="T20" i="76"/>
  <c r="T59" i="77"/>
  <c r="AR44" i="77"/>
  <c r="T13" i="77" l="1"/>
  <c r="T12" i="77"/>
  <c r="T34" i="77"/>
  <c r="T12" i="78"/>
  <c r="M34" i="75"/>
  <c r="M36" i="75" s="1"/>
  <c r="T24" i="75"/>
  <c r="T15" i="75"/>
  <c r="T35" i="74"/>
  <c r="R35" i="74"/>
  <c r="P35" i="74"/>
  <c r="AR34" i="74"/>
  <c r="O35" i="74"/>
  <c r="N35" i="74"/>
  <c r="M35" i="74"/>
  <c r="K35" i="74"/>
  <c r="J35" i="74"/>
  <c r="I35" i="74"/>
  <c r="H35" i="74"/>
  <c r="F35" i="74"/>
  <c r="E35" i="74"/>
  <c r="D35" i="74"/>
  <c r="C35" i="74"/>
  <c r="T51" i="74"/>
  <c r="T53" i="74" s="1"/>
  <c r="T25" i="74"/>
  <c r="R18" i="74"/>
  <c r="P18" i="74"/>
  <c r="AR17" i="74"/>
  <c r="O18" i="74"/>
  <c r="N18" i="74"/>
  <c r="M18" i="74"/>
  <c r="I18" i="74"/>
  <c r="K18" i="74"/>
  <c r="AQ17" i="74"/>
  <c r="J18" i="74"/>
  <c r="H18" i="74"/>
  <c r="F18" i="74"/>
  <c r="AP17" i="74"/>
  <c r="D18" i="74"/>
  <c r="E18" i="74"/>
  <c r="C18" i="74"/>
  <c r="T25" i="75" l="1"/>
  <c r="T30" i="75" s="1"/>
  <c r="T32" i="75" s="1"/>
  <c r="T34" i="75" s="1"/>
  <c r="T36" i="75" s="1"/>
  <c r="T54" i="74"/>
  <c r="T10" i="77" l="1"/>
  <c r="T24" i="77" s="1"/>
  <c r="T61" i="77" s="1"/>
  <c r="R13" i="77"/>
  <c r="AS13" i="77" s="1"/>
  <c r="R12" i="77"/>
  <c r="AS12" i="77" s="1"/>
  <c r="R59" i="77"/>
  <c r="R34" i="77"/>
  <c r="R12" i="78"/>
  <c r="R31" i="76"/>
  <c r="R20" i="76"/>
  <c r="R11" i="76" s="1"/>
  <c r="R24" i="75" l="1"/>
  <c r="AS24" i="75" s="1"/>
  <c r="R15" i="75"/>
  <c r="R24" i="74"/>
  <c r="R51" i="74"/>
  <c r="R53" i="74" s="1"/>
  <c r="R25" i="75" l="1"/>
  <c r="AS15" i="75"/>
  <c r="R25" i="74"/>
  <c r="R54" i="74"/>
  <c r="I57" i="75"/>
  <c r="I13" i="80" l="1"/>
  <c r="R30" i="75"/>
  <c r="AS25" i="75"/>
  <c r="P67" i="75"/>
  <c r="I17" i="80" l="1"/>
  <c r="R32" i="75"/>
  <c r="AS30" i="75"/>
  <c r="P24" i="74"/>
  <c r="AS32" i="75" l="1"/>
  <c r="AS34" i="75" s="1"/>
  <c r="AS36" i="75" s="1"/>
  <c r="R10" i="77"/>
  <c r="AS10" i="77" s="1"/>
  <c r="AS24" i="77" s="1"/>
  <c r="R34" i="75"/>
  <c r="R36" i="75" s="1"/>
  <c r="K27" i="76"/>
  <c r="G24" i="80"/>
  <c r="G28" i="80" s="1"/>
  <c r="K58" i="77"/>
  <c r="K29" i="77"/>
  <c r="AQ29" i="77" s="1"/>
  <c r="K18" i="77"/>
  <c r="AS61" i="77" l="1"/>
  <c r="AN23" i="76"/>
  <c r="R24" i="77"/>
  <c r="R61" i="77" s="1"/>
  <c r="M24" i="77"/>
  <c r="O18" i="77"/>
  <c r="O23" i="77"/>
  <c r="AR60" i="77"/>
  <c r="AR41" i="77"/>
  <c r="AR42" i="77"/>
  <c r="AR43" i="77"/>
  <c r="AR46" i="77"/>
  <c r="AR47" i="77"/>
  <c r="AR48" i="77"/>
  <c r="AR52" i="77"/>
  <c r="AR53" i="77"/>
  <c r="AR54" i="77"/>
  <c r="AR56" i="77"/>
  <c r="AR57" i="77"/>
  <c r="AR58" i="77"/>
  <c r="AR38" i="77"/>
  <c r="AR28" i="77"/>
  <c r="AR29" i="77"/>
  <c r="AR30" i="77"/>
  <c r="AR33" i="77"/>
  <c r="AR27" i="77"/>
  <c r="P34" i="77"/>
  <c r="P59" i="77"/>
  <c r="AR59" i="77" l="1"/>
  <c r="AR34" i="77"/>
  <c r="AR26" i="76"/>
  <c r="H23" i="80" s="1"/>
  <c r="AR28" i="76"/>
  <c r="H25" i="80" s="1"/>
  <c r="AR27" i="76"/>
  <c r="H24" i="80" s="1"/>
  <c r="AR25" i="76"/>
  <c r="H22" i="80" s="1"/>
  <c r="AR23" i="77"/>
  <c r="AR22" i="77"/>
  <c r="AR21" i="77"/>
  <c r="AR20" i="77"/>
  <c r="AR18" i="77"/>
  <c r="P13" i="77"/>
  <c r="P12" i="77"/>
  <c r="AR13" i="76"/>
  <c r="AR12" i="76"/>
  <c r="AR19" i="76"/>
  <c r="H16" i="80" s="1"/>
  <c r="AR18" i="76"/>
  <c r="H15" i="80" s="1"/>
  <c r="AR17" i="76"/>
  <c r="H14" i="80" s="1"/>
  <c r="AR11" i="78"/>
  <c r="AR10" i="78"/>
  <c r="P12" i="78"/>
  <c r="P46" i="75"/>
  <c r="P41" i="75"/>
  <c r="P24" i="75"/>
  <c r="P15" i="75"/>
  <c r="AR12" i="77"/>
  <c r="AR29" i="74"/>
  <c r="AR33" i="74"/>
  <c r="AR30" i="74"/>
  <c r="AR31" i="74"/>
  <c r="AR32" i="74"/>
  <c r="AR36" i="74"/>
  <c r="AR37" i="74"/>
  <c r="AR39" i="74"/>
  <c r="AR40" i="74"/>
  <c r="AR42" i="74"/>
  <c r="AR44" i="74"/>
  <c r="AR45" i="74"/>
  <c r="AR46" i="74"/>
  <c r="AR47" i="74"/>
  <c r="AR48" i="74"/>
  <c r="AR49" i="74"/>
  <c r="AR50" i="74"/>
  <c r="AR52" i="74"/>
  <c r="AR28" i="74"/>
  <c r="AR12" i="74"/>
  <c r="AR13" i="74"/>
  <c r="AR14" i="74"/>
  <c r="AR15" i="74"/>
  <c r="AR16" i="74"/>
  <c r="AR19" i="74"/>
  <c r="AR21" i="74"/>
  <c r="AR22" i="74"/>
  <c r="AR23" i="74"/>
  <c r="AR24" i="74"/>
  <c r="AR11" i="74"/>
  <c r="P51" i="74"/>
  <c r="P53" i="74" s="1"/>
  <c r="AR53" i="74" s="1"/>
  <c r="AR35" i="74"/>
  <c r="P25" i="74"/>
  <c r="AR25" i="74" s="1"/>
  <c r="P25" i="75" l="1"/>
  <c r="P30" i="75" s="1"/>
  <c r="P32" i="75" s="1"/>
  <c r="P34" i="75" s="1"/>
  <c r="P36" i="75" s="1"/>
  <c r="AR12" i="78"/>
  <c r="AR13" i="77"/>
  <c r="P16" i="76"/>
  <c r="P20" i="76" s="1"/>
  <c r="P11" i="76" s="1"/>
  <c r="AR51" i="74"/>
  <c r="P54" i="74"/>
  <c r="AR54" i="74" s="1"/>
  <c r="AR18" i="74"/>
  <c r="P10" i="77" l="1"/>
  <c r="P24" i="77" s="1"/>
  <c r="O12" i="78"/>
  <c r="O34" i="77"/>
  <c r="O13" i="77"/>
  <c r="O12" i="77"/>
  <c r="O59" i="77"/>
  <c r="N13" i="77"/>
  <c r="N12" i="77"/>
  <c r="K21" i="75"/>
  <c r="AQ21" i="75" s="1"/>
  <c r="AQ24" i="75" s="1"/>
  <c r="AQ25" i="75" s="1"/>
  <c r="AQ30" i="75" s="1"/>
  <c r="AQ32" i="75" s="1"/>
  <c r="AQ34" i="75" s="1"/>
  <c r="AQ36" i="75" s="1"/>
  <c r="D46" i="75"/>
  <c r="E46" i="75"/>
  <c r="F46" i="75"/>
  <c r="G46" i="75"/>
  <c r="H46" i="75"/>
  <c r="I46" i="75"/>
  <c r="J46" i="75"/>
  <c r="K46" i="75"/>
  <c r="L46" i="75"/>
  <c r="M46" i="75"/>
  <c r="N46" i="75"/>
  <c r="C46" i="75"/>
  <c r="D41" i="75"/>
  <c r="E41" i="75"/>
  <c r="G41" i="75"/>
  <c r="H41" i="75"/>
  <c r="I41" i="75"/>
  <c r="J41" i="75"/>
  <c r="K41" i="75"/>
  <c r="L41" i="75"/>
  <c r="M41" i="75"/>
  <c r="N41" i="75"/>
  <c r="C41" i="75"/>
  <c r="N24" i="75"/>
  <c r="N15" i="75"/>
  <c r="O24" i="74"/>
  <c r="N51" i="74"/>
  <c r="N53" i="74" s="1"/>
  <c r="N24" i="74"/>
  <c r="N16" i="76" l="1"/>
  <c r="N25" i="75"/>
  <c r="P61" i="77"/>
  <c r="P23" i="76"/>
  <c r="P31" i="76" s="1"/>
  <c r="N25" i="74"/>
  <c r="N54" i="74"/>
  <c r="AO28" i="76"/>
  <c r="AP28" i="76"/>
  <c r="AQ28" i="76"/>
  <c r="AO26" i="76"/>
  <c r="AP26" i="76"/>
  <c r="AQ26" i="76"/>
  <c r="AO27" i="76"/>
  <c r="AP27" i="76"/>
  <c r="AQ27" i="76"/>
  <c r="AP25" i="76"/>
  <c r="AQ25" i="76"/>
  <c r="AO25" i="76"/>
  <c r="G23" i="76"/>
  <c r="L23" i="76"/>
  <c r="M23" i="76"/>
  <c r="M31" i="76" s="1"/>
  <c r="AK23" i="76"/>
  <c r="N30" i="75" l="1"/>
  <c r="N32" i="75" l="1"/>
  <c r="M16" i="76"/>
  <c r="N34" i="77"/>
  <c r="M59" i="77"/>
  <c r="M61" i="77" s="1"/>
  <c r="M12" i="78"/>
  <c r="O24" i="75"/>
  <c r="AR24" i="75" s="1"/>
  <c r="O15" i="75"/>
  <c r="AR15" i="75" s="1"/>
  <c r="M51" i="74"/>
  <c r="M53" i="74" s="1"/>
  <c r="M25" i="74"/>
  <c r="N34" i="75" l="1"/>
  <c r="N36" i="75" s="1"/>
  <c r="O16" i="76"/>
  <c r="O20" i="76" s="1"/>
  <c r="O11" i="76" s="1"/>
  <c r="N10" i="77"/>
  <c r="N24" i="77" s="1"/>
  <c r="N23" i="76" s="1"/>
  <c r="N31" i="76" s="1"/>
  <c r="O25" i="75"/>
  <c r="AR25" i="75" s="1"/>
  <c r="N20" i="76"/>
  <c r="N11" i="76" s="1"/>
  <c r="M54" i="74"/>
  <c r="N59" i="77"/>
  <c r="N12" i="78"/>
  <c r="M20" i="76"/>
  <c r="M11" i="76" s="1"/>
  <c r="O51" i="74"/>
  <c r="O53" i="74" s="1"/>
  <c r="O25" i="74"/>
  <c r="O30" i="75" l="1"/>
  <c r="AR30" i="75" s="1"/>
  <c r="H13" i="80"/>
  <c r="AR16" i="76"/>
  <c r="AR20" i="76" s="1"/>
  <c r="AR11" i="76" s="1"/>
  <c r="N61" i="77"/>
  <c r="O54" i="74"/>
  <c r="C17" i="80"/>
  <c r="D17" i="80"/>
  <c r="O32" i="75" l="1"/>
  <c r="H17" i="80"/>
  <c r="O34" i="75" l="1"/>
  <c r="O36" i="75" s="1"/>
  <c r="AR32" i="75"/>
  <c r="AR34" i="75" s="1"/>
  <c r="AR36" i="75" s="1"/>
  <c r="O10" i="77"/>
  <c r="O24" i="77" s="1"/>
  <c r="AP18" i="77"/>
  <c r="AO18" i="77"/>
  <c r="J18" i="77"/>
  <c r="I18" i="77"/>
  <c r="H18" i="77"/>
  <c r="E18" i="77"/>
  <c r="D18" i="77"/>
  <c r="C18" i="77"/>
  <c r="AR10" i="77" l="1"/>
  <c r="AR24" i="77" s="1"/>
  <c r="AR23" i="76" s="1"/>
  <c r="AQ18" i="77"/>
  <c r="O23" i="76"/>
  <c r="O31" i="76" s="1"/>
  <c r="O61" i="77"/>
  <c r="AQ13" i="77"/>
  <c r="K33" i="77"/>
  <c r="K27" i="77"/>
  <c r="K23" i="77"/>
  <c r="AQ58" i="77"/>
  <c r="AP58" i="77"/>
  <c r="AQ57" i="77"/>
  <c r="AP57" i="77"/>
  <c r="AQ56" i="77"/>
  <c r="AP56" i="77"/>
  <c r="AQ54" i="77"/>
  <c r="AP54" i="77"/>
  <c r="AQ53" i="77"/>
  <c r="AP53" i="77"/>
  <c r="AQ52" i="77"/>
  <c r="AP52" i="77"/>
  <c r="AQ48" i="77"/>
  <c r="AP48" i="77"/>
  <c r="AQ47" i="77"/>
  <c r="AP47" i="77"/>
  <c r="AQ46" i="77"/>
  <c r="AP46" i="77"/>
  <c r="AQ43" i="77"/>
  <c r="AP43" i="77"/>
  <c r="AQ42" i="77"/>
  <c r="E42" i="77"/>
  <c r="AP42" i="77" s="1"/>
  <c r="AQ41" i="77"/>
  <c r="AP41" i="77"/>
  <c r="AR61" i="77" l="1"/>
  <c r="H20" i="80"/>
  <c r="H28" i="80" s="1"/>
  <c r="AR31" i="76"/>
  <c r="AQ59" i="77"/>
  <c r="AO49" i="74"/>
  <c r="AO50" i="74"/>
  <c r="AO48" i="74"/>
  <c r="AO47" i="74"/>
  <c r="AO46" i="74"/>
  <c r="AO45" i="74"/>
  <c r="D15" i="75" l="1"/>
  <c r="K12" i="78" l="1"/>
  <c r="AQ12" i="78"/>
  <c r="AQ34" i="77"/>
  <c r="K13" i="77"/>
  <c r="K12" i="77"/>
  <c r="K59" i="77"/>
  <c r="K34" i="77"/>
  <c r="E25" i="74"/>
  <c r="AO40" i="74" l="1"/>
  <c r="AO51" i="74" l="1"/>
  <c r="AO53" i="74" s="1"/>
  <c r="AO54" i="74" l="1"/>
  <c r="AO25" i="74"/>
  <c r="AQ12" i="77" l="1"/>
  <c r="K24" i="75"/>
  <c r="K15" i="75"/>
  <c r="H24" i="74"/>
  <c r="I51" i="74"/>
  <c r="I53" i="74" s="1"/>
  <c r="I54" i="74" s="1"/>
  <c r="I25" i="74"/>
  <c r="K16" i="76" l="1"/>
  <c r="K20" i="76" s="1"/>
  <c r="K11" i="76" s="1"/>
  <c r="K25" i="75"/>
  <c r="K30" i="75" s="1"/>
  <c r="K32" i="75" s="1"/>
  <c r="AQ16" i="76" l="1"/>
  <c r="AQ20" i="76" s="1"/>
  <c r="AQ11" i="76" s="1"/>
  <c r="K34" i="75"/>
  <c r="K36" i="75" s="1"/>
  <c r="K10" i="77"/>
  <c r="K24" i="77" s="1"/>
  <c r="G13" i="80"/>
  <c r="K61" i="77" l="1"/>
  <c r="K23" i="76"/>
  <c r="K31" i="76" s="1"/>
  <c r="G17" i="80"/>
  <c r="AQ10" i="77"/>
  <c r="AQ24" i="77" s="1"/>
  <c r="K51" i="74"/>
  <c r="AQ51" i="74" s="1"/>
  <c r="AQ12" i="74"/>
  <c r="AQ13" i="74"/>
  <c r="AQ14" i="74"/>
  <c r="AQ15" i="74"/>
  <c r="AQ16" i="74"/>
  <c r="AQ19" i="74"/>
  <c r="AQ21" i="74"/>
  <c r="AQ22" i="74"/>
  <c r="AQ23" i="74"/>
  <c r="AQ24" i="74"/>
  <c r="AQ28" i="74"/>
  <c r="AQ29" i="74"/>
  <c r="AQ31" i="74"/>
  <c r="AQ32" i="74"/>
  <c r="AQ36" i="74"/>
  <c r="AQ37" i="74"/>
  <c r="AQ39" i="74"/>
  <c r="AQ40" i="74"/>
  <c r="AQ42" i="74"/>
  <c r="AQ44" i="74"/>
  <c r="AQ45" i="74"/>
  <c r="AQ46" i="74"/>
  <c r="AQ47" i="74"/>
  <c r="AQ48" i="74"/>
  <c r="AQ50" i="74"/>
  <c r="AQ49" i="74"/>
  <c r="AQ52" i="74"/>
  <c r="AQ11" i="74"/>
  <c r="AQ35" i="74"/>
  <c r="AQ18" i="74"/>
  <c r="AQ61" i="77" l="1"/>
  <c r="AQ63" i="77" s="1"/>
  <c r="AR62" i="77" s="1"/>
  <c r="AR63" i="77" s="1"/>
  <c r="AS62" i="77" s="1"/>
  <c r="AS63" i="77" s="1"/>
  <c r="AT62" i="77" s="1"/>
  <c r="AT63" i="77" s="1"/>
  <c r="AU62" i="77" s="1"/>
  <c r="AU63" i="77" s="1"/>
  <c r="AV62" i="77" s="1"/>
  <c r="AV63" i="77" s="1"/>
  <c r="AQ23" i="76"/>
  <c r="AQ31" i="76" s="1"/>
  <c r="K53" i="74"/>
  <c r="AQ53" i="74" s="1"/>
  <c r="K25" i="74"/>
  <c r="K54" i="74" l="1"/>
  <c r="AQ54" i="74" s="1"/>
  <c r="AQ25" i="74"/>
  <c r="F13" i="80"/>
  <c r="AP52" i="74"/>
  <c r="AP49" i="74"/>
  <c r="AP50" i="74"/>
  <c r="AP48" i="74"/>
  <c r="AP47" i="74"/>
  <c r="AP46" i="74"/>
  <c r="AP45" i="74"/>
  <c r="AP44" i="74"/>
  <c r="AP42" i="74"/>
  <c r="AP40" i="74"/>
  <c r="AP39" i="74"/>
  <c r="AP37" i="74"/>
  <c r="AP36" i="74"/>
  <c r="AP32" i="74"/>
  <c r="AP31" i="74"/>
  <c r="AP33" i="74"/>
  <c r="AP29" i="74"/>
  <c r="AP28" i="74"/>
  <c r="AP24" i="74"/>
  <c r="AP23" i="74"/>
  <c r="AP22" i="74"/>
  <c r="AP21" i="74"/>
  <c r="AP19" i="74"/>
  <c r="AP16" i="74"/>
  <c r="AP15" i="74"/>
  <c r="AP14" i="74"/>
  <c r="AP13" i="74"/>
  <c r="AP12" i="74"/>
  <c r="AP11" i="74"/>
  <c r="F17" i="80" l="1"/>
  <c r="AO23" i="77"/>
  <c r="AP23" i="77"/>
  <c r="AO59" i="77"/>
  <c r="AP13" i="77" l="1"/>
  <c r="AO13" i="77"/>
  <c r="J13" i="77"/>
  <c r="I13" i="77"/>
  <c r="H13" i="77"/>
  <c r="E13" i="77"/>
  <c r="D13" i="77"/>
  <c r="C13" i="77"/>
  <c r="AP12" i="77"/>
  <c r="AO12" i="77"/>
  <c r="J12" i="77"/>
  <c r="I12" i="77"/>
  <c r="H12" i="77"/>
  <c r="E12" i="77"/>
  <c r="D12" i="77"/>
  <c r="C12" i="77"/>
  <c r="F53" i="75"/>
  <c r="F52" i="75"/>
  <c r="F51" i="75"/>
  <c r="F38" i="75"/>
  <c r="F41" i="75" s="1"/>
  <c r="F31" i="75"/>
  <c r="F29" i="75"/>
  <c r="F26" i="75"/>
  <c r="F23" i="75"/>
  <c r="F20" i="75"/>
  <c r="F19" i="75"/>
  <c r="F17" i="75"/>
  <c r="F14" i="75"/>
  <c r="F13" i="75"/>
  <c r="F12" i="75"/>
  <c r="F12" i="77" l="1"/>
  <c r="F13" i="77"/>
  <c r="AP35" i="74"/>
  <c r="C51" i="74" l="1"/>
  <c r="C53" i="74" s="1"/>
  <c r="C25" i="74"/>
  <c r="C54" i="74" l="1"/>
  <c r="D51" i="74" l="1"/>
  <c r="AP34" i="77" l="1"/>
  <c r="C34" i="77"/>
  <c r="E59" i="77"/>
  <c r="AO34" i="77"/>
  <c r="C59" i="77"/>
  <c r="H59" i="77"/>
  <c r="H34" i="77"/>
  <c r="AP59" i="77" l="1"/>
  <c r="J34" i="77"/>
  <c r="J59" i="77"/>
  <c r="F34" i="77"/>
  <c r="F59" i="77"/>
  <c r="I59" i="77"/>
  <c r="E34" i="77"/>
  <c r="I34" i="77"/>
  <c r="D34" i="77"/>
  <c r="D59" i="77"/>
  <c r="J24" i="75" l="1"/>
  <c r="I24" i="75"/>
  <c r="H24" i="75"/>
  <c r="F24" i="75"/>
  <c r="E24" i="75"/>
  <c r="D24" i="75"/>
  <c r="C24" i="75"/>
  <c r="E13" i="80" l="1"/>
  <c r="J15" i="75"/>
  <c r="I15" i="75"/>
  <c r="H15" i="75"/>
  <c r="F15" i="75"/>
  <c r="E15" i="75"/>
  <c r="C15" i="75"/>
  <c r="D53" i="74"/>
  <c r="D25" i="74"/>
  <c r="J51" i="74"/>
  <c r="J53" i="74" s="1"/>
  <c r="J54" i="74" s="1"/>
  <c r="H51" i="74"/>
  <c r="H53" i="74" s="1"/>
  <c r="H54" i="74" s="1"/>
  <c r="F51" i="74"/>
  <c r="E51" i="74"/>
  <c r="E53" i="74" s="1"/>
  <c r="J25" i="74"/>
  <c r="H25" i="74"/>
  <c r="F53" i="74" l="1"/>
  <c r="AP51" i="74"/>
  <c r="E17" i="80"/>
  <c r="F25" i="74"/>
  <c r="AP25" i="74" s="1"/>
  <c r="AP18" i="74"/>
  <c r="E25" i="75"/>
  <c r="E30" i="75" s="1"/>
  <c r="E32" i="75" s="1"/>
  <c r="E34" i="75" s="1"/>
  <c r="E36" i="75" s="1"/>
  <c r="E12" i="78"/>
  <c r="E16" i="76"/>
  <c r="E20" i="76" s="1"/>
  <c r="E11" i="76" s="1"/>
  <c r="J25" i="75"/>
  <c r="J30" i="75" s="1"/>
  <c r="J32" i="75" s="1"/>
  <c r="J34" i="75" s="1"/>
  <c r="J36" i="75" s="1"/>
  <c r="J16" i="76"/>
  <c r="J20" i="76" s="1"/>
  <c r="J11" i="76" s="1"/>
  <c r="J12" i="78"/>
  <c r="F25" i="75"/>
  <c r="F30" i="75" s="1"/>
  <c r="F32" i="75" s="1"/>
  <c r="F34" i="75" s="1"/>
  <c r="F36" i="75" s="1"/>
  <c r="F12" i="78"/>
  <c r="F16" i="76"/>
  <c r="F20" i="76" s="1"/>
  <c r="F11" i="76" s="1"/>
  <c r="AO12" i="78"/>
  <c r="AO16" i="76"/>
  <c r="AO20" i="76" s="1"/>
  <c r="AO11" i="76" s="1"/>
  <c r="C25" i="75"/>
  <c r="C30" i="75" s="1"/>
  <c r="C32" i="75" s="1"/>
  <c r="C34" i="75" s="1"/>
  <c r="C36" i="75" s="1"/>
  <c r="C16" i="76"/>
  <c r="C20" i="76" s="1"/>
  <c r="C11" i="76" s="1"/>
  <c r="C12" i="78"/>
  <c r="H25" i="75"/>
  <c r="H30" i="75" s="1"/>
  <c r="H32" i="75" s="1"/>
  <c r="H34" i="75" s="1"/>
  <c r="H36" i="75" s="1"/>
  <c r="H16" i="76"/>
  <c r="H20" i="76" s="1"/>
  <c r="H11" i="76" s="1"/>
  <c r="H12" i="78"/>
  <c r="AP16" i="76"/>
  <c r="AP20" i="76" s="1"/>
  <c r="AP11" i="76" s="1"/>
  <c r="AP12" i="78"/>
  <c r="D25" i="75"/>
  <c r="D30" i="75" s="1"/>
  <c r="D32" i="75" s="1"/>
  <c r="D34" i="75" s="1"/>
  <c r="D36" i="75" s="1"/>
  <c r="D12" i="78"/>
  <c r="D16" i="76"/>
  <c r="D20" i="76" s="1"/>
  <c r="D11" i="76" s="1"/>
  <c r="I25" i="75"/>
  <c r="I30" i="75" s="1"/>
  <c r="I32" i="75" s="1"/>
  <c r="I34" i="75" s="1"/>
  <c r="I36" i="75" s="1"/>
  <c r="I12" i="78"/>
  <c r="I16" i="76"/>
  <c r="I20" i="76" s="1"/>
  <c r="I11" i="76" s="1"/>
  <c r="E54" i="74"/>
  <c r="D54" i="74"/>
  <c r="F54" i="74" l="1"/>
  <c r="AP54" i="74" s="1"/>
  <c r="AP53" i="74"/>
  <c r="F10" i="77"/>
  <c r="F24" i="77" s="1"/>
  <c r="H10" i="77"/>
  <c r="J10" i="77"/>
  <c r="J24" i="77" s="1"/>
  <c r="AP10" i="77"/>
  <c r="AP24" i="77" s="1"/>
  <c r="AP23" i="76" s="1"/>
  <c r="AP31" i="76" s="1"/>
  <c r="D10" i="77"/>
  <c r="D24" i="77" s="1"/>
  <c r="AO10" i="77"/>
  <c r="AO24" i="77" s="1"/>
  <c r="I10" i="77"/>
  <c r="I24" i="77" s="1"/>
  <c r="C10" i="77"/>
  <c r="E10" i="77"/>
  <c r="E24" i="77" s="1"/>
  <c r="F61" i="77" l="1"/>
  <c r="F23" i="76"/>
  <c r="F31" i="76" s="1"/>
  <c r="E61" i="77"/>
  <c r="E23" i="76"/>
  <c r="E31" i="76" s="1"/>
  <c r="D61" i="77"/>
  <c r="D23" i="76"/>
  <c r="D31" i="76" s="1"/>
  <c r="I61" i="77"/>
  <c r="I23" i="76"/>
  <c r="I31" i="76" s="1"/>
  <c r="AO61" i="77"/>
  <c r="AO63" i="77" s="1"/>
  <c r="AO23" i="76"/>
  <c r="AO31" i="76" s="1"/>
  <c r="J61" i="77"/>
  <c r="J23" i="76"/>
  <c r="J31" i="76" s="1"/>
  <c r="C24" i="77"/>
  <c r="H24" i="77"/>
  <c r="H23" i="76" s="1"/>
  <c r="H31" i="76" s="1"/>
  <c r="AP61" i="77"/>
  <c r="C61" i="77" l="1"/>
  <c r="C63" i="77" s="1"/>
  <c r="D62" i="77" s="1"/>
  <c r="D63" i="77" s="1"/>
  <c r="E62" i="77" s="1"/>
  <c r="E63" i="77" s="1"/>
  <c r="F62" i="77" s="1"/>
  <c r="F63" i="77" s="1"/>
  <c r="C23" i="76"/>
  <c r="C31" i="76" s="1"/>
  <c r="H61" i="77"/>
  <c r="H63" i="77" s="1"/>
  <c r="I62" i="77" s="1"/>
  <c r="I63" i="77" s="1"/>
  <c r="J62" i="77" s="1"/>
  <c r="J63" i="77" s="1"/>
  <c r="K62" i="77" s="1"/>
  <c r="K63" i="77" s="1"/>
  <c r="AP63" i="77"/>
  <c r="M62" i="77" l="1"/>
  <c r="M63" i="77" s="1"/>
  <c r="N62" i="77" s="1"/>
  <c r="N63" i="77" s="1"/>
  <c r="O62" i="77" s="1"/>
  <c r="O63" i="77" s="1"/>
  <c r="P62" i="77" s="1"/>
  <c r="P63" i="77" s="1"/>
  <c r="R62" i="77" s="1"/>
  <c r="R63" i="77" s="1"/>
  <c r="S62" i="77" l="1"/>
  <c r="S63" i="77" s="1"/>
  <c r="T62" i="77" l="1"/>
  <c r="T63" i="77" s="1"/>
  <c r="U62" i="77" l="1"/>
  <c r="U63" i="77" s="1"/>
  <c r="W62" i="77" s="1"/>
  <c r="W63" i="77" l="1"/>
  <c r="X62" i="77" s="1"/>
  <c r="X63" i="77" s="1"/>
  <c r="Y62" i="77" s="1"/>
  <c r="Y63" i="77" s="1"/>
  <c r="Z62" i="77" s="1"/>
  <c r="Z63" i="77" s="1"/>
  <c r="AB62" i="77" l="1"/>
  <c r="AB63" i="77" s="1"/>
  <c r="AC62" i="77" l="1"/>
  <c r="AC63" i="77" s="1"/>
  <c r="AD62" i="77" s="1"/>
  <c r="AD63" i="77" s="1"/>
  <c r="AE62" i="77" s="1"/>
  <c r="AE63" i="77" s="1"/>
  <c r="AG62" i="77" s="1"/>
  <c r="AG63" i="77" l="1"/>
  <c r="AH62" i="77" s="1"/>
  <c r="AH63" i="77" s="1"/>
  <c r="AI62" i="77" s="1"/>
  <c r="AI63" i="77" s="1"/>
  <c r="AJ62" i="77" s="1"/>
  <c r="AJ63" i="77" s="1"/>
  <c r="AL62" i="77" s="1"/>
  <c r="AL63" i="77" l="1"/>
  <c r="AM62" i="77" s="1"/>
  <c r="AM63" i="77" s="1"/>
</calcChain>
</file>

<file path=xl/sharedStrings.xml><?xml version="1.0" encoding="utf-8"?>
<sst xmlns="http://schemas.openxmlformats.org/spreadsheetml/2006/main" count="466" uniqueCount="232">
  <si>
    <t>Page</t>
  </si>
  <si>
    <t>Current assets:</t>
  </si>
  <si>
    <t>Effect of exchange rate changes on cash and cash equivalents</t>
  </si>
  <si>
    <t>Prepaid expenses and other current assets</t>
  </si>
  <si>
    <t>Property and equipment, net</t>
  </si>
  <si>
    <t>Goodwill</t>
  </si>
  <si>
    <t>Intangible assets, net</t>
  </si>
  <si>
    <t>Total assets</t>
  </si>
  <si>
    <t>Current liabilities:</t>
  </si>
  <si>
    <t>Accounts payable</t>
  </si>
  <si>
    <t>Table of Contents</t>
  </si>
  <si>
    <t>Balance Sheet (GAAP)</t>
  </si>
  <si>
    <t>General and administrative</t>
  </si>
  <si>
    <t>Cash and cash equivalents, beginning of period</t>
  </si>
  <si>
    <t>Cash and cash equivalents, end of period</t>
  </si>
  <si>
    <t>Other</t>
  </si>
  <si>
    <t>Condensed Consolidated Financial Information</t>
  </si>
  <si>
    <t>Notes to Condensed Consolidated Financial Information</t>
  </si>
  <si>
    <t>Depreciation and amortization</t>
  </si>
  <si>
    <t>FY'13</t>
  </si>
  <si>
    <t>Q1'14</t>
  </si>
  <si>
    <t>Q2'14</t>
  </si>
  <si>
    <t>Q3'14</t>
  </si>
  <si>
    <t>Q4'14</t>
  </si>
  <si>
    <t>FY'14</t>
  </si>
  <si>
    <t>Q1'15</t>
  </si>
  <si>
    <t>Q2'15</t>
  </si>
  <si>
    <t>Assets</t>
  </si>
  <si>
    <t>Cash and cash equivalents</t>
  </si>
  <si>
    <t>Short-term investments</t>
  </si>
  <si>
    <t>Accounts and other receivables</t>
  </si>
  <si>
    <t>Registry deposits</t>
  </si>
  <si>
    <t>Prepaid domain name registry fees</t>
  </si>
  <si>
    <t>Total current assets</t>
  </si>
  <si>
    <t>Prepaid domain name registry fees, net of current portion</t>
  </si>
  <si>
    <t>Other assets</t>
  </si>
  <si>
    <t>Liabilities and stockholders'/members’ equity</t>
  </si>
  <si>
    <t>Total current liabilities</t>
  </si>
  <si>
    <t>Deferred revenue, net of current portion</t>
  </si>
  <si>
    <t>Long-term debt, net of current portion</t>
  </si>
  <si>
    <t>Payable to related parties pursuant to tax receivable agreements, net of current portion</t>
  </si>
  <si>
    <t>Other long-term liabilities</t>
  </si>
  <si>
    <t>Commitments and contingencies</t>
  </si>
  <si>
    <t>Stockholders'/members' equity:</t>
  </si>
  <si>
    <t>Members' interest</t>
  </si>
  <si>
    <t>Additional paid-in capital</t>
  </si>
  <si>
    <t>Total stockholders' equity attributable to GoDaddy Inc./members' equity</t>
  </si>
  <si>
    <t>Non-controlling interests</t>
  </si>
  <si>
    <t>Total stockholders'/members’ equity</t>
  </si>
  <si>
    <t>Total liabilities and stockholders'/members’ equity</t>
  </si>
  <si>
    <t>Q3'15</t>
  </si>
  <si>
    <t>Redeemable Units</t>
  </si>
  <si>
    <t>Preferred stock</t>
  </si>
  <si>
    <t>Class A common stock</t>
  </si>
  <si>
    <t>Class B common stock</t>
  </si>
  <si>
    <t>Revenue:</t>
  </si>
  <si>
    <t>Domains</t>
  </si>
  <si>
    <t>Hosting and presence</t>
  </si>
  <si>
    <t>Business applications</t>
  </si>
  <si>
    <t>Total revenue</t>
  </si>
  <si>
    <t>Cost of revenue (excluding depreciation and amortization)</t>
  </si>
  <si>
    <t>Technology and development</t>
  </si>
  <si>
    <t>Marketing and advertising</t>
  </si>
  <si>
    <t>Customer care</t>
  </si>
  <si>
    <t>Total costs and operating expenses</t>
  </si>
  <si>
    <t>Operating income (loss)</t>
  </si>
  <si>
    <t>Interest expense</t>
  </si>
  <si>
    <t>Loss on debt extinguishment</t>
  </si>
  <si>
    <t>Other income (expense), net</t>
  </si>
  <si>
    <t>Benefit (provision) for income taxes</t>
  </si>
  <si>
    <t>Operating activities</t>
  </si>
  <si>
    <t>Changes in operating assets and liabilities, net of amounts acquired:</t>
  </si>
  <si>
    <t>Deferred revenue</t>
  </si>
  <si>
    <t>Other operating assets and liabilities</t>
  </si>
  <si>
    <t>Net cash provided by operating activities</t>
  </si>
  <si>
    <t>Investing activities</t>
  </si>
  <si>
    <t>Purchases of short-term investments</t>
  </si>
  <si>
    <t>Maturities of short-term investments</t>
  </si>
  <si>
    <t>Business acquisitions, net of cash acquired</t>
  </si>
  <si>
    <t>Purchase of intangible assets</t>
  </si>
  <si>
    <t>Net cash used in investing activities</t>
  </si>
  <si>
    <t> </t>
  </si>
  <si>
    <t>Financing activities</t>
  </si>
  <si>
    <t>Repayment of senior note</t>
  </si>
  <si>
    <t>Repayment of revolving credit loan</t>
  </si>
  <si>
    <t>Net cash provided by (used in) financing activities</t>
  </si>
  <si>
    <t>Key Metrics:</t>
  </si>
  <si>
    <t>Total bookings</t>
  </si>
  <si>
    <t>Average revenue per user (ARPU)</t>
  </si>
  <si>
    <t>Reconciliation of Total Bookings:</t>
  </si>
  <si>
    <t>Change in deferred revenue</t>
  </si>
  <si>
    <t>Net refunds</t>
  </si>
  <si>
    <t>U.S.</t>
  </si>
  <si>
    <t>International</t>
  </si>
  <si>
    <t>Item 1</t>
  </si>
  <si>
    <t>Item 2</t>
  </si>
  <si>
    <t>Item 3</t>
  </si>
  <si>
    <t>Item 4</t>
  </si>
  <si>
    <t>GoDaddy Inc.</t>
  </si>
  <si>
    <t>Condensed Consolidated Balance Sheet (GAAP)</t>
  </si>
  <si>
    <t>Condensed Consolidated Statement of Operations (GAAP)</t>
  </si>
  <si>
    <t>Key Metrics</t>
  </si>
  <si>
    <t xml:space="preserve">Condensed Consolidated Cash Flow Statement (GAAP)  </t>
  </si>
  <si>
    <t>Geographic Revenue</t>
  </si>
  <si>
    <t>Cash Flow Statement (GAAP)</t>
  </si>
  <si>
    <t>Q4'15</t>
  </si>
  <si>
    <t>Quarterly</t>
  </si>
  <si>
    <t>Annual</t>
  </si>
  <si>
    <t>FY'15</t>
  </si>
  <si>
    <t>(unaudited, in millions)</t>
  </si>
  <si>
    <t>(unaudited, in millions, except shares in thousands and per share data)</t>
  </si>
  <si>
    <t>Issuance of Class A common stock under employee stock purchase plan</t>
  </si>
  <si>
    <t>(in millions)</t>
  </si>
  <si>
    <t>(unaudited)</t>
  </si>
  <si>
    <t>(audited)</t>
  </si>
  <si>
    <t>Item 6</t>
  </si>
  <si>
    <t>Item 5</t>
  </si>
  <si>
    <t xml:space="preserve">Condensed Consolidated Statement of Operations (GAAP) </t>
  </si>
  <si>
    <t>Proceeds received from:</t>
  </si>
  <si>
    <t>Option and warrant exercises and other</t>
  </si>
  <si>
    <t>Term loan</t>
  </si>
  <si>
    <t>Revolving credit loan</t>
  </si>
  <si>
    <t>Payments made for:</t>
  </si>
  <si>
    <t>Distributions to LLC Unit and option holders</t>
  </si>
  <si>
    <t>Financing-related costs</t>
  </si>
  <si>
    <t>Capital contributions from members</t>
  </si>
  <si>
    <t>FY'12</t>
  </si>
  <si>
    <t>FY'11</t>
  </si>
  <si>
    <t>Reconciliation of Unlevered Free Cash Flow:</t>
  </si>
  <si>
    <t>Cash paid for interest</t>
  </si>
  <si>
    <t>Cash paid for acquisition &amp; sponsor related costs</t>
  </si>
  <si>
    <t>Capital expenditures</t>
  </si>
  <si>
    <t>Cash paid for required tax distributions</t>
  </si>
  <si>
    <t>Unlevered free cash flow</t>
  </si>
  <si>
    <t>Q1'16</t>
  </si>
  <si>
    <t>Tax receivable agreements liability adjustment</t>
  </si>
  <si>
    <t>(in millions, except customers and ARPU)</t>
  </si>
  <si>
    <t>Total customers (in thousands)</t>
  </si>
  <si>
    <t>Q2'16</t>
  </si>
  <si>
    <t>Fully diluted share count giving effect to the treasury stock method (for informational purposes only)</t>
  </si>
  <si>
    <t>Q3'16</t>
  </si>
  <si>
    <t xml:space="preserve">Net income (loss) attributable to GoDaddy Inc. </t>
  </si>
  <si>
    <t>Less: net income (loss) attributable to non-controlling interests</t>
  </si>
  <si>
    <t>Net income (loss)</t>
  </si>
  <si>
    <t>Basic</t>
  </si>
  <si>
    <t>Diluted</t>
  </si>
  <si>
    <t>Adjustments to reconcile net income (loss) to net cash provided by operating activities:</t>
  </si>
  <si>
    <t xml:space="preserve">  Total revenue</t>
  </si>
  <si>
    <t>Q4'16</t>
  </si>
  <si>
    <t>FY'16</t>
  </si>
  <si>
    <t>Payable to related parties for tax distributions</t>
  </si>
  <si>
    <t>Payable to related parties pursuant to tax receivable agreements</t>
  </si>
  <si>
    <r>
      <rPr>
        <vertAlign val="superscript"/>
        <sz val="8"/>
        <rFont val="Arial"/>
        <family val="2"/>
      </rPr>
      <t>(1)</t>
    </r>
    <r>
      <rPr>
        <sz val="8"/>
        <rFont val="Arial"/>
        <family val="2"/>
      </rPr>
      <t xml:space="preserve"> Costs and operating expenses include equity-based compensation expense as follows:</t>
    </r>
  </si>
  <si>
    <r>
      <t>Costs and operating expenses</t>
    </r>
    <r>
      <rPr>
        <vertAlign val="superscript"/>
        <sz val="10"/>
        <rFont val="Arial"/>
        <family val="2"/>
      </rPr>
      <t>(1)</t>
    </r>
    <r>
      <rPr>
        <sz val="10"/>
        <rFont val="Arial"/>
        <family val="2"/>
      </rPr>
      <t>:</t>
    </r>
  </si>
  <si>
    <r>
      <rPr>
        <vertAlign val="superscript"/>
        <sz val="8"/>
        <rFont val="Arial"/>
        <family val="2"/>
      </rPr>
      <t xml:space="preserve">(2) </t>
    </r>
    <r>
      <rPr>
        <sz val="8"/>
        <rFont val="Arial"/>
        <family val="2"/>
      </rPr>
      <t>Acquisition and sponsor-related costs included in General and Administrative Expenses</t>
    </r>
  </si>
  <si>
    <r>
      <rPr>
        <vertAlign val="superscript"/>
        <sz val="8"/>
        <rFont val="Arial"/>
        <family val="2"/>
      </rPr>
      <t xml:space="preserve">(3) </t>
    </r>
    <r>
      <rPr>
        <sz val="8"/>
        <rFont val="Arial"/>
        <family val="2"/>
      </rPr>
      <t>IPO-related costs included in General and Administrative Expenses</t>
    </r>
  </si>
  <si>
    <t>Q1'17</t>
  </si>
  <si>
    <r>
      <rPr>
        <vertAlign val="superscript"/>
        <sz val="8"/>
        <rFont val="Arial"/>
        <family val="2"/>
      </rPr>
      <t>(4)</t>
    </r>
    <r>
      <rPr>
        <sz val="8"/>
        <rFont val="Arial"/>
        <family val="2"/>
      </rPr>
      <t xml:space="preserve"> Financing related fees in connection with debt modification included in General and Administrative Expenses</t>
    </r>
  </si>
  <si>
    <t>Q2'17</t>
  </si>
  <si>
    <t>Assets of business held for sale</t>
  </si>
  <si>
    <t>Liabilities of business held for sale</t>
  </si>
  <si>
    <t>Income (loss) from continuing operations</t>
  </si>
  <si>
    <t>Income (loss) from continuing operations before income taxes</t>
  </si>
  <si>
    <t>Acquisition Term Loan</t>
  </si>
  <si>
    <t>Sale of Class A common stock, net of expenses</t>
  </si>
  <si>
    <t>Repurchase of LLC Units</t>
  </si>
  <si>
    <t>Impact of discontinued operations</t>
  </si>
  <si>
    <t>Basic - continuing operations</t>
  </si>
  <si>
    <t>Basic - discontinued operations</t>
  </si>
  <si>
    <t>Diluted - continuing operations</t>
  </si>
  <si>
    <t>Diluted - discontinued operations</t>
  </si>
  <si>
    <t>Accrued expenses and other current liabilities</t>
  </si>
  <si>
    <t>Net income (loss) attributable to GoDaddy Inc.</t>
  </si>
  <si>
    <t>Cash paid for tax-related distributions</t>
  </si>
  <si>
    <t>Bridge Loan</t>
  </si>
  <si>
    <t>Net increase (decrease) in cash and cash equivalents</t>
  </si>
  <si>
    <t>Q3'17</t>
  </si>
  <si>
    <t>Repayment of Bridge Loan</t>
  </si>
  <si>
    <t>Long-term debt</t>
  </si>
  <si>
    <t>Q4'17</t>
  </si>
  <si>
    <t>FY'17</t>
  </si>
  <si>
    <t>Retained earnings (accumulated deficit)</t>
  </si>
  <si>
    <t>Purchases of property and equipment</t>
  </si>
  <si>
    <t>Q1'18</t>
  </si>
  <si>
    <t>Repayment of term loans</t>
  </si>
  <si>
    <r>
      <t>General and administrative</t>
    </r>
    <r>
      <rPr>
        <vertAlign val="superscript"/>
        <sz val="10"/>
        <rFont val="Arial"/>
        <family val="2"/>
      </rPr>
      <t>(2)(3)(4)(5)</t>
    </r>
  </si>
  <si>
    <r>
      <rPr>
        <vertAlign val="superscript"/>
        <sz val="8"/>
        <rFont val="Arial"/>
        <family val="2"/>
      </rPr>
      <t>(5)</t>
    </r>
    <r>
      <rPr>
        <sz val="8"/>
        <rFont val="Arial"/>
        <family val="2"/>
      </rPr>
      <t xml:space="preserve"> Indirect tax expense included in General and Administrative Expenses</t>
    </r>
  </si>
  <si>
    <r>
      <rPr>
        <vertAlign val="superscript"/>
        <sz val="8"/>
        <rFont val="Arial"/>
        <family val="2"/>
      </rPr>
      <t xml:space="preserve">(7) </t>
    </r>
    <r>
      <rPr>
        <sz val="8"/>
        <rFont val="Arial"/>
        <family val="2"/>
      </rPr>
      <t>Amounts for periods prior to our IPO have been retrospectively adjusted to give effect to the reorganization transactions that occurred prior to the completion of our IPO. The prior period amounts do not consider the 26,000 shares of Class A common stock sold in our initial public offering. For purposes of calculating loss per share for periods prior to the IPO for which a portion of the period preceded the IPO, we treated the reorganization transactions as a merger of entities under common control. Therefore, we have retrospectively reflected loss per share as though these transactions had occurred as of the earliest period presented. For purposes of calculating net loss per share of Class A common stock for all periods prior to the IPO, we allocated our historical net loss between the Class A stockholders and the non-controlling interest based on their respective share ownership. For these allocations, the weighted average shares of Class A common stock outstanding was based upon the number of LLC units exchanged in the reorganization transactions, while the weighted average shares of Class B common stock outstanding for the non-controlling interest was based upon the LLC units held by the continuing owners.</t>
    </r>
  </si>
  <si>
    <r>
      <t>Net income (loss) per share of Class A common stock</t>
    </r>
    <r>
      <rPr>
        <vertAlign val="superscript"/>
        <sz val="10"/>
        <rFont val="Arial"/>
        <family val="2"/>
      </rPr>
      <t>(7)</t>
    </r>
  </si>
  <si>
    <r>
      <t>Weighted-average shares of Class A common stock outstanding</t>
    </r>
    <r>
      <rPr>
        <vertAlign val="superscript"/>
        <sz val="10"/>
        <rFont val="Arial"/>
        <family val="2"/>
      </rPr>
      <t>(7)</t>
    </r>
  </si>
  <si>
    <r>
      <rPr>
        <sz val="10"/>
        <rFont val="Arial"/>
        <family val="2"/>
      </rPr>
      <t>Income (loss) from discontinued operations, net of income taxes</t>
    </r>
    <r>
      <rPr>
        <vertAlign val="superscript"/>
        <sz val="8"/>
        <rFont val="Arial"/>
        <family val="2"/>
      </rPr>
      <t>(6)</t>
    </r>
  </si>
  <si>
    <r>
      <rPr>
        <vertAlign val="superscript"/>
        <sz val="8"/>
        <rFont val="Arial"/>
        <family val="2"/>
      </rPr>
      <t>(6)</t>
    </r>
    <r>
      <rPr>
        <sz val="8"/>
        <rFont val="Arial"/>
        <family val="2"/>
      </rPr>
      <t xml:space="preserve"> Gain (loss) on disposal of PlusServer, net of tax</t>
    </r>
  </si>
  <si>
    <t>Q2'18</t>
  </si>
  <si>
    <t>Q3'18</t>
  </si>
  <si>
    <t>Cash paid for indirect taxes</t>
  </si>
  <si>
    <t>Q4'18</t>
  </si>
  <si>
    <t>FY'18</t>
  </si>
  <si>
    <t>Accumulated other comprehensive income (loss)</t>
  </si>
  <si>
    <t>Gain on sale of discontinued operations</t>
  </si>
  <si>
    <t>Net proceeds from sale of discontinued operations, including post-closing adjustments</t>
  </si>
  <si>
    <t>Other financing obligations</t>
  </si>
  <si>
    <t>Q1'19</t>
  </si>
  <si>
    <t>Operating lease assets</t>
  </si>
  <si>
    <t>Operating lease liabilities, net of current portion</t>
  </si>
  <si>
    <t>Q2'19</t>
  </si>
  <si>
    <t>Cost of revenue</t>
  </si>
  <si>
    <t>Q3'19</t>
  </si>
  <si>
    <t>Repurchases of Class A common stock</t>
  </si>
  <si>
    <t>FY'19</t>
  </si>
  <si>
    <t>Q4'19</t>
  </si>
  <si>
    <t>Normalized EBITDA</t>
  </si>
  <si>
    <t>Interest, net</t>
  </si>
  <si>
    <t>Benefit for income taxes &amp; TRA adjustments</t>
  </si>
  <si>
    <t>Acquisition costs</t>
  </si>
  <si>
    <t>Accrual for legal settlement expenses</t>
  </si>
  <si>
    <t>Debt refinance expenses</t>
  </si>
  <si>
    <r>
      <t>Equity-based compensation expense</t>
    </r>
    <r>
      <rPr>
        <vertAlign val="superscript"/>
        <sz val="12"/>
        <rFont val="GD Sherpa"/>
      </rPr>
      <t>(1)</t>
    </r>
  </si>
  <si>
    <t>Q1'20</t>
  </si>
  <si>
    <t>Equity-based compensation expense</t>
  </si>
  <si>
    <t>Q2'20</t>
  </si>
  <si>
    <t>Restructuring charges</t>
  </si>
  <si>
    <t>Non-cash restructuring charges</t>
  </si>
  <si>
    <t>Q3'20</t>
  </si>
  <si>
    <t>Settlement of tax receivable agreements</t>
  </si>
  <si>
    <t>FY'20</t>
  </si>
  <si>
    <t>Q4'20</t>
  </si>
  <si>
    <t>Cash paid for restructuring charges</t>
  </si>
  <si>
    <t>Q1'21</t>
  </si>
  <si>
    <t>Issuance of term loans</t>
  </si>
  <si>
    <t>Issuance of senior notes</t>
  </si>
  <si>
    <t>Q2'21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</si>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</sst>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 \(0.0%\)"/>
    <numFmt numFmtId="167" formatCode="0.0%"/>
    <numFmt numFmtId="168" formatCode="_(* #,##0.0_);_(* \(#,##0.0\);_(* &quot;-&quot;??_);_(@_)"/>
    <numFmt numFmtId="169" formatCode="_(* #,##0.0_);_(* \(#,##0.0\);_(* &quot;-&quot;?_);_(@_)"/>
    <numFmt numFmtId="170" formatCode="_(&quot;$&quot;* #,##0.0_);_(&quot;$&quot;* \(#,##0.0\);_(&quot;$&quot;* &quot;-&quot;?_);_(@_)"/>
    <numFmt numFmtId="171" formatCode="_(&quot;$&quot;* #,##0.0_);_(&quot;$&quot;* \(#,##0.0\);_(&quot;$&quot;* &quot;-&quot;??_);_(@_)"/>
  </numFmts>
  <fonts count="29">
    <font>
      <sz val="10"/>
      <name val="GT Walsheim Regular"/>
      <family val="3"/>
    </font>
    <font>
      <sz val="10"/>
      <name val="Times New Roman"/>
      <family val="1"/>
    </font>
    <font>
      <sz val="8"/>
      <name val="Times New Roman"/>
      <family val="1"/>
    </font>
    <font>
      <b/>
      <sz val="12"/>
      <name val="Times New Roman"/>
      <family val="1"/>
    </font>
    <font>
      <b/>
      <sz val="14"/>
      <name val="Times New Roman"/>
      <family val="1"/>
    </font>
    <font>
      <sz val="10"/>
      <name val="Arial"/>
      <family val="2"/>
    </font>
    <font>
      <sz val="12"/>
      <name val="Arial"/>
      <family val="2"/>
    </font>
    <font>
      <sz val="8"/>
      <name val="Arial"/>
      <family val="2"/>
    </font>
    <font>
      <vertAlign val="superscript"/>
      <sz val="8"/>
      <name val="Arial"/>
      <family val="2"/>
    </font>
    <font>
      <sz val="9"/>
      <name val="Arial"/>
      <family val="2"/>
    </font>
    <font>
      <b/>
      <sz val="9"/>
      <name val="Arial"/>
      <family val="2"/>
    </font>
    <font>
      <b/>
      <sz val="14"/>
      <name val="Arial"/>
      <family val="2"/>
    </font>
    <font>
      <b/>
      <sz val="12"/>
      <name val="Arial"/>
      <family val="2"/>
    </font>
    <font>
      <b/>
      <sz val="10"/>
      <color indexed="9"/>
      <name val="Arial"/>
      <family val="2"/>
    </font>
    <font>
      <sz val="9"/>
      <name val="Times New Roman"/>
      <family val="1"/>
    </font>
    <font>
      <b/>
      <sz val="22"/>
      <color indexed="10"/>
      <name val="Times New Roman"/>
      <family val="1"/>
    </font>
    <font>
      <sz val="26"/>
      <color indexed="10"/>
      <name val="Times New Roman"/>
      <family val="1"/>
    </font>
    <font>
      <sz val="9"/>
      <color rgb="FFFF0000"/>
      <name val="Arial"/>
      <family val="2"/>
    </font>
    <font>
      <sz val="10"/>
      <color rgb="FFFF0000"/>
      <name val="Times New Roman"/>
      <family val="1"/>
    </font>
    <font>
      <b/>
      <sz val="10"/>
      <name val="Times New Roman"/>
      <family val="1"/>
    </font>
    <font>
      <sz val="14"/>
      <name val="Arial"/>
      <family val="2"/>
    </font>
    <font>
      <sz val="11"/>
      <name val="Arial"/>
      <family val="2"/>
    </font>
    <font>
      <b/>
      <sz val="11"/>
      <name val="Arial"/>
      <family val="2"/>
    </font>
    <font>
      <u/>
      <sz val="14"/>
      <name val="Arial"/>
      <family val="2"/>
    </font>
    <font>
      <b/>
      <sz val="10"/>
      <name val="Arial"/>
      <family val="2"/>
    </font>
    <font>
      <sz val="10"/>
      <color rgb="FFFF0000"/>
      <name val="Arial"/>
      <family val="2"/>
    </font>
    <font>
      <vertAlign val="superscript"/>
      <sz val="10"/>
      <name val="Arial"/>
      <family val="2"/>
    </font>
    <font>
      <sz val="7"/>
      <name val="Arial"/>
      <family val="2"/>
    </font>
    <font>
      <vertAlign val="superscript"/>
      <sz val="12"/>
      <name val="GD Sherpa"/>
    </font>
  </fonts>
  <fills count="4">
    <fill>
      <patternFill patternType="none"/>
    </fill>
    <fill>
      <patternFill patternType="gray125"/>
    </fill>
    <fill>
      <patternFill patternType="solid">
        <fgColor theme="0"/>
        <bgColor indexed="64"/>
      </patternFill>
    </fill>
    <fill>
      <patternFill patternType="solid">
        <fgColor rgb="FF77C043"/>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0">
    <xf numFmtId="0" fontId="0" fillId="0" borderId="0" xfId="0"/>
    <xf numFmtId="0" fontId="2" fillId="0" borderId="0" xfId="0" applyFont="1" applyFill="1" applyBorder="1"/>
    <xf numFmtId="165" fontId="2" fillId="0" borderId="0" xfId="1" applyNumberFormat="1" applyFont="1" applyFill="1" applyBorder="1"/>
    <xf numFmtId="0" fontId="4" fillId="0" borderId="0" xfId="0" applyNumberFormat="1" applyFont="1" applyFill="1" applyBorder="1"/>
    <xf numFmtId="0" fontId="3" fillId="0" borderId="0" xfId="0" applyNumberFormat="1" applyFont="1" applyFill="1" applyBorder="1"/>
    <xf numFmtId="0" fontId="2" fillId="0" borderId="0" xfId="0" applyNumberFormat="1" applyFont="1" applyFill="1" applyBorder="1"/>
    <xf numFmtId="0" fontId="1" fillId="0" borderId="0" xfId="0" applyFont="1" applyFill="1" applyBorder="1"/>
    <xf numFmtId="166" fontId="1" fillId="0" borderId="0" xfId="0" applyNumberFormat="1" applyFont="1" applyFill="1" applyBorder="1"/>
    <xf numFmtId="0" fontId="9" fillId="0" borderId="0" xfId="0" applyFont="1" applyFill="1" applyBorder="1" applyAlignment="1">
      <alignment horizontal="center"/>
    </xf>
    <xf numFmtId="0" fontId="9" fillId="0" borderId="0" xfId="0" applyFont="1" applyFill="1" applyBorder="1"/>
    <xf numFmtId="0" fontId="9" fillId="0" borderId="0" xfId="0" applyNumberFormat="1" applyFont="1" applyFill="1" applyBorder="1"/>
    <xf numFmtId="0" fontId="11" fillId="0" borderId="0" xfId="0" applyFont="1" applyFill="1" applyBorder="1" applyAlignment="1">
      <alignment horizontal="center"/>
    </xf>
    <xf numFmtId="0" fontId="7" fillId="0" borderId="0" xfId="0" applyFont="1" applyFill="1" applyBorder="1"/>
    <xf numFmtId="0" fontId="12" fillId="0" borderId="0" xfId="0" applyFont="1" applyFill="1" applyBorder="1" applyAlignment="1">
      <alignment horizontal="center"/>
    </xf>
    <xf numFmtId="0" fontId="6" fillId="0" borderId="0" xfId="0" applyFont="1" applyFill="1" applyBorder="1" applyAlignment="1">
      <alignment horizontal="center"/>
    </xf>
    <xf numFmtId="0" fontId="9" fillId="0" borderId="0" xfId="0" applyNumberFormat="1" applyFont="1" applyFill="1" applyBorder="1" applyAlignment="1">
      <alignment vertical="top"/>
    </xf>
    <xf numFmtId="0" fontId="9" fillId="0" borderId="0" xfId="0" applyNumberFormat="1" applyFont="1" applyFill="1" applyBorder="1" applyAlignment="1">
      <alignment vertical="top" wrapText="1"/>
    </xf>
    <xf numFmtId="41" fontId="9" fillId="0" borderId="0" xfId="1" applyNumberFormat="1" applyFont="1" applyFill="1" applyBorder="1" applyAlignment="1">
      <alignment vertical="top"/>
    </xf>
    <xf numFmtId="165" fontId="9" fillId="0" borderId="0" xfId="1" applyNumberFormat="1" applyFont="1" applyFill="1" applyBorder="1" applyAlignment="1">
      <alignment vertical="top"/>
    </xf>
    <xf numFmtId="0" fontId="9" fillId="0" borderId="0" xfId="0" applyFont="1" applyFill="1" applyBorder="1" applyAlignment="1">
      <alignment horizontal="center" vertical="top"/>
    </xf>
    <xf numFmtId="0" fontId="10" fillId="0" borderId="0" xfId="0" applyNumberFormat="1" applyFont="1" applyFill="1" applyBorder="1" applyAlignment="1">
      <alignment vertical="top"/>
    </xf>
    <xf numFmtId="0" fontId="9" fillId="0" borderId="0" xfId="0" applyFont="1" applyFill="1" applyBorder="1" applyAlignment="1">
      <alignment vertical="top"/>
    </xf>
    <xf numFmtId="42" fontId="9" fillId="0" borderId="0" xfId="2" applyNumberFormat="1" applyFont="1" applyFill="1" applyBorder="1" applyAlignment="1">
      <alignment vertical="top"/>
    </xf>
    <xf numFmtId="0" fontId="2" fillId="0" borderId="0" xfId="0" applyFont="1" applyFill="1" applyBorder="1" applyAlignment="1">
      <alignment vertical="top"/>
    </xf>
    <xf numFmtId="6" fontId="9" fillId="0" borderId="0" xfId="0" applyNumberFormat="1" applyFont="1" applyFill="1" applyBorder="1" applyAlignment="1">
      <alignment vertical="top"/>
    </xf>
    <xf numFmtId="38" fontId="9" fillId="0" borderId="0" xfId="0" applyNumberFormat="1" applyFont="1" applyFill="1" applyBorder="1" applyAlignment="1">
      <alignment vertical="top"/>
    </xf>
    <xf numFmtId="44" fontId="9" fillId="0" borderId="0" xfId="2" applyNumberFormat="1" applyFont="1" applyFill="1" applyBorder="1" applyAlignment="1">
      <alignment vertical="top"/>
    </xf>
    <xf numFmtId="44" fontId="9" fillId="0" borderId="0" xfId="0" applyNumberFormat="1" applyFont="1" applyFill="1" applyBorder="1" applyAlignment="1">
      <alignment vertical="top"/>
    </xf>
    <xf numFmtId="0" fontId="2" fillId="0" borderId="0" xfId="0" applyNumberFormat="1" applyFont="1" applyFill="1" applyBorder="1" applyAlignment="1">
      <alignment vertical="top"/>
    </xf>
    <xf numFmtId="38" fontId="2" fillId="0" borderId="0" xfId="0" applyNumberFormat="1" applyFont="1" applyFill="1" applyBorder="1" applyAlignment="1">
      <alignment vertical="top"/>
    </xf>
    <xf numFmtId="41" fontId="2" fillId="0" borderId="0" xfId="1" applyNumberFormat="1" applyFont="1" applyFill="1" applyBorder="1" applyAlignment="1">
      <alignment vertical="top"/>
    </xf>
    <xf numFmtId="0" fontId="5" fillId="0" borderId="0" xfId="0" applyNumberFormat="1" applyFont="1" applyFill="1" applyBorder="1" applyAlignment="1">
      <alignment vertical="top"/>
    </xf>
    <xf numFmtId="0" fontId="10" fillId="0" borderId="0" xfId="1" applyNumberFormat="1" applyFont="1" applyFill="1" applyBorder="1" applyAlignment="1">
      <alignment vertical="top"/>
    </xf>
    <xf numFmtId="0" fontId="1" fillId="0" borderId="0" xfId="0" applyFont="1" applyFill="1" applyBorder="1" applyAlignment="1">
      <alignment vertical="top"/>
    </xf>
    <xf numFmtId="39" fontId="2" fillId="0" borderId="0" xfId="0" applyNumberFormat="1" applyFont="1" applyFill="1" applyBorder="1" applyAlignment="1">
      <alignment vertical="top"/>
    </xf>
    <xf numFmtId="0" fontId="0" fillId="2" borderId="0" xfId="0" applyFill="1"/>
    <xf numFmtId="0" fontId="15" fillId="2" borderId="0" xfId="0" applyFont="1" applyFill="1"/>
    <xf numFmtId="0" fontId="16" fillId="2" borderId="0" xfId="0" applyFont="1" applyFill="1"/>
    <xf numFmtId="0" fontId="0" fillId="0" borderId="0" xfId="0"/>
    <xf numFmtId="0" fontId="18" fillId="0" borderId="0" xfId="0" applyFont="1" applyFill="1" applyBorder="1" applyAlignment="1">
      <alignment horizontal="center" vertical="top"/>
    </xf>
    <xf numFmtId="9" fontId="17" fillId="0" borderId="0" xfId="3" applyFont="1" applyFill="1" applyBorder="1" applyAlignment="1">
      <alignment vertical="top"/>
    </xf>
    <xf numFmtId="0" fontId="7" fillId="0" borderId="0" xfId="0" applyNumberFormat="1" applyFont="1" applyFill="1" applyBorder="1" applyAlignment="1">
      <alignment vertical="top"/>
    </xf>
    <xf numFmtId="41" fontId="2" fillId="0" borderId="0" xfId="0" applyNumberFormat="1" applyFont="1" applyFill="1" applyBorder="1" applyAlignment="1">
      <alignment vertical="top"/>
    </xf>
    <xf numFmtId="164" fontId="9" fillId="0" borderId="0" xfId="0" applyNumberFormat="1" applyFont="1" applyFill="1" applyBorder="1" applyAlignment="1">
      <alignment vertical="top"/>
    </xf>
    <xf numFmtId="0" fontId="19" fillId="2" borderId="0" xfId="0" applyFont="1" applyFill="1"/>
    <xf numFmtId="0" fontId="8" fillId="0" borderId="0" xfId="0" applyNumberFormat="1" applyFont="1" applyFill="1" applyBorder="1" applyAlignment="1">
      <alignment vertical="top"/>
    </xf>
    <xf numFmtId="0" fontId="8" fillId="0" borderId="0" xfId="0" applyNumberFormat="1" applyFont="1" applyFill="1" applyBorder="1" applyAlignment="1">
      <alignment horizontal="left" wrapText="1"/>
    </xf>
    <xf numFmtId="9" fontId="18" fillId="0" borderId="0" xfId="3" applyFont="1" applyFill="1" applyBorder="1" applyAlignment="1">
      <alignment vertical="top"/>
    </xf>
    <xf numFmtId="41" fontId="1" fillId="0" borderId="0" xfId="0" applyNumberFormat="1" applyFont="1" applyFill="1" applyBorder="1" applyAlignment="1">
      <alignment vertical="top"/>
    </xf>
    <xf numFmtId="9" fontId="1" fillId="0" borderId="0" xfId="3" applyFont="1" applyFill="1" applyBorder="1" applyAlignment="1">
      <alignment vertical="top"/>
    </xf>
    <xf numFmtId="10" fontId="1" fillId="0" borderId="0" xfId="3" applyNumberFormat="1" applyFont="1" applyFill="1" applyBorder="1" applyAlignment="1">
      <alignment vertical="top"/>
    </xf>
    <xf numFmtId="10" fontId="18" fillId="0" borderId="0" xfId="3" applyNumberFormat="1" applyFont="1" applyFill="1" applyBorder="1" applyAlignment="1">
      <alignment horizontal="center" vertical="top"/>
    </xf>
    <xf numFmtId="9" fontId="18" fillId="0" borderId="0" xfId="3" applyFont="1" applyFill="1" applyBorder="1" applyAlignment="1">
      <alignment horizontal="center" vertical="top"/>
    </xf>
    <xf numFmtId="0" fontId="14" fillId="0" borderId="0" xfId="0" applyFont="1" applyFill="1" applyBorder="1" applyAlignment="1">
      <alignment vertical="top" wrapText="1"/>
    </xf>
    <xf numFmtId="9" fontId="1" fillId="0" borderId="0" xfId="3" applyFont="1" applyFill="1" applyBorder="1" applyAlignment="1">
      <alignment horizontal="center" vertical="top"/>
    </xf>
    <xf numFmtId="167" fontId="1" fillId="0" borderId="0" xfId="3" applyNumberFormat="1" applyFont="1" applyFill="1" applyBorder="1" applyAlignment="1">
      <alignment vertical="top"/>
    </xf>
    <xf numFmtId="10" fontId="18" fillId="0" borderId="0" xfId="3" applyNumberFormat="1" applyFont="1" applyFill="1" applyBorder="1" applyAlignment="1">
      <alignment vertical="top"/>
    </xf>
    <xf numFmtId="0" fontId="7" fillId="0" borderId="0" xfId="0" applyFont="1" applyFill="1" applyBorder="1" applyAlignment="1"/>
    <xf numFmtId="0" fontId="0" fillId="0" borderId="0" xfId="0" applyFill="1" applyBorder="1" applyAlignment="1"/>
    <xf numFmtId="0" fontId="13" fillId="0" borderId="0" xfId="0" applyFont="1" applyFill="1" applyBorder="1" applyAlignment="1">
      <alignment horizontal="centerContinuous"/>
    </xf>
    <xf numFmtId="165" fontId="9" fillId="0" borderId="0" xfId="0" applyNumberFormat="1" applyFont="1" applyFill="1" applyBorder="1" applyAlignment="1">
      <alignment vertical="top"/>
    </xf>
    <xf numFmtId="0" fontId="7" fillId="0" borderId="0" xfId="0" applyFont="1" applyFill="1" applyBorder="1" applyAlignment="1">
      <alignment wrapText="1"/>
    </xf>
    <xf numFmtId="0" fontId="21" fillId="2" borderId="0" xfId="0" applyFont="1" applyFill="1"/>
    <xf numFmtId="0" fontId="22" fillId="2" borderId="0" xfId="0" applyFont="1" applyFill="1"/>
    <xf numFmtId="164" fontId="21" fillId="2" borderId="0" xfId="0" applyNumberFormat="1" applyFont="1" applyFill="1"/>
    <xf numFmtId="44" fontId="21" fillId="2" borderId="0" xfId="0" applyNumberFormat="1" applyFont="1" applyFill="1"/>
    <xf numFmtId="0" fontId="5" fillId="2" borderId="0" xfId="0" applyFont="1" applyFill="1" applyAlignment="1">
      <alignment wrapText="1"/>
    </xf>
    <xf numFmtId="168" fontId="5" fillId="2" borderId="0" xfId="1" applyNumberFormat="1" applyFont="1" applyFill="1"/>
    <xf numFmtId="0" fontId="20" fillId="2" borderId="0" xfId="0" applyFont="1" applyFill="1" applyAlignment="1">
      <alignment horizontal="centerContinuous"/>
    </xf>
    <xf numFmtId="168" fontId="5" fillId="2" borderId="0" xfId="1" applyNumberFormat="1" applyFont="1" applyFill="1" applyAlignment="1">
      <alignment horizontal="centerContinuous"/>
    </xf>
    <xf numFmtId="0" fontId="20" fillId="2" borderId="0" xfId="0" applyFont="1" applyFill="1" applyAlignment="1"/>
    <xf numFmtId="0" fontId="5" fillId="2" borderId="0" xfId="0" applyFont="1" applyFill="1" applyAlignment="1">
      <alignment horizontal="center" wrapText="1"/>
    </xf>
    <xf numFmtId="0" fontId="5" fillId="2" borderId="0" xfId="0" applyFont="1" applyFill="1"/>
    <xf numFmtId="43" fontId="5" fillId="2" borderId="0" xfId="0" applyNumberFormat="1" applyFont="1" applyFill="1"/>
    <xf numFmtId="14" fontId="5" fillId="2" borderId="0" xfId="0" applyNumberFormat="1" applyFont="1" applyFill="1"/>
    <xf numFmtId="168" fontId="5" fillId="2" borderId="0" xfId="0" applyNumberFormat="1" applyFont="1" applyFill="1"/>
    <xf numFmtId="0" fontId="5" fillId="2" borderId="0" xfId="0" applyFont="1" applyFill="1" applyAlignment="1">
      <alignment horizontal="centerContinuous"/>
    </xf>
    <xf numFmtId="0" fontId="20" fillId="2" borderId="0" xfId="0" applyFont="1" applyFill="1"/>
    <xf numFmtId="0" fontId="11" fillId="2" borderId="0" xfId="0" applyFont="1" applyFill="1"/>
    <xf numFmtId="0" fontId="20" fillId="3" borderId="3" xfId="0" applyFont="1" applyFill="1" applyBorder="1"/>
    <xf numFmtId="0" fontId="20" fillId="3" borderId="6" xfId="0" applyFont="1" applyFill="1" applyBorder="1"/>
    <xf numFmtId="168" fontId="5" fillId="2" borderId="0" xfId="0" applyNumberFormat="1" applyFont="1" applyFill="1" applyBorder="1"/>
    <xf numFmtId="0" fontId="5" fillId="2" borderId="0" xfId="0" applyFont="1" applyFill="1" applyBorder="1"/>
    <xf numFmtId="168" fontId="5" fillId="2" borderId="0" xfId="1" applyNumberFormat="1" applyFont="1" applyFill="1" applyBorder="1"/>
    <xf numFmtId="168" fontId="20" fillId="2" borderId="0" xfId="1" applyNumberFormat="1" applyFont="1" applyFill="1" applyAlignment="1"/>
    <xf numFmtId="168" fontId="5" fillId="2" borderId="0" xfId="1" applyNumberFormat="1" applyFont="1" applyFill="1" applyAlignment="1">
      <alignment wrapText="1"/>
    </xf>
    <xf numFmtId="168" fontId="5" fillId="2" borderId="0" xfId="1" applyNumberFormat="1" applyFont="1" applyFill="1" applyAlignment="1">
      <alignment horizontal="center" wrapText="1"/>
    </xf>
    <xf numFmtId="168" fontId="20" fillId="2" borderId="0" xfId="1" applyNumberFormat="1" applyFont="1" applyFill="1" applyBorder="1"/>
    <xf numFmtId="0" fontId="11" fillId="3" borderId="5" xfId="0" applyFont="1" applyFill="1" applyBorder="1"/>
    <xf numFmtId="0" fontId="23" fillId="2" borderId="0" xfId="0" applyFont="1" applyFill="1" applyAlignment="1">
      <alignment horizontal="center"/>
    </xf>
    <xf numFmtId="0" fontId="5" fillId="2" borderId="0" xfId="0" applyFont="1" applyFill="1" applyBorder="1" applyAlignment="1">
      <alignment horizontal="centerContinuous" wrapText="1"/>
    </xf>
    <xf numFmtId="0" fontId="5" fillId="2" borderId="1" xfId="0" applyFont="1" applyFill="1" applyBorder="1" applyAlignment="1">
      <alignment horizontal="center"/>
    </xf>
    <xf numFmtId="0" fontId="24" fillId="2" borderId="0" xfId="0" applyFont="1" applyFill="1" applyAlignment="1">
      <alignment wrapText="1"/>
    </xf>
    <xf numFmtId="170" fontId="5" fillId="2" borderId="0" xfId="1" applyNumberFormat="1" applyFont="1" applyFill="1"/>
    <xf numFmtId="170" fontId="5" fillId="2" borderId="0" xfId="1" applyNumberFormat="1" applyFont="1" applyFill="1" applyBorder="1"/>
    <xf numFmtId="168" fontId="5" fillId="2" borderId="1" xfId="1" applyNumberFormat="1" applyFont="1" applyFill="1" applyBorder="1"/>
    <xf numFmtId="168" fontId="25" fillId="2" borderId="0" xfId="1" applyNumberFormat="1" applyFont="1" applyFill="1"/>
    <xf numFmtId="0" fontId="5" fillId="2" borderId="0" xfId="0" applyFont="1" applyFill="1" applyAlignment="1">
      <alignment horizontal="left" wrapText="1" indent="2"/>
    </xf>
    <xf numFmtId="170" fontId="5" fillId="2" borderId="0" xfId="0" applyNumberFormat="1" applyFont="1" applyFill="1"/>
    <xf numFmtId="170" fontId="5" fillId="2" borderId="0" xfId="0" applyNumberFormat="1" applyFont="1" applyFill="1" applyBorder="1"/>
    <xf numFmtId="44" fontId="5" fillId="2" borderId="0" xfId="0" applyNumberFormat="1" applyFont="1" applyFill="1"/>
    <xf numFmtId="169" fontId="5" fillId="2" borderId="0" xfId="0" applyNumberFormat="1" applyFont="1" applyFill="1"/>
    <xf numFmtId="169" fontId="5" fillId="2" borderId="0" xfId="0" applyNumberFormat="1" applyFont="1" applyFill="1" applyBorder="1"/>
    <xf numFmtId="0" fontId="5" fillId="2" borderId="0" xfId="0" applyFont="1" applyFill="1" applyAlignment="1">
      <alignment horizontal="center" wrapText="1"/>
    </xf>
    <xf numFmtId="0" fontId="24" fillId="2" borderId="0" xfId="0" applyFont="1" applyFill="1"/>
    <xf numFmtId="42" fontId="5" fillId="2" borderId="0" xfId="1" applyNumberFormat="1" applyFont="1" applyFill="1"/>
    <xf numFmtId="170" fontId="5" fillId="2" borderId="0" xfId="0" applyNumberFormat="1" applyFont="1" applyFill="1" applyAlignment="1">
      <alignment horizontal="center" wrapText="1"/>
    </xf>
    <xf numFmtId="168" fontId="5" fillId="2" borderId="3" xfId="1" applyNumberFormat="1" applyFont="1" applyFill="1" applyBorder="1"/>
    <xf numFmtId="168" fontId="5" fillId="0" borderId="0" xfId="1" applyNumberFormat="1" applyFont="1" applyFill="1"/>
    <xf numFmtId="44" fontId="5" fillId="2" borderId="0" xfId="2" applyFont="1" applyFill="1"/>
    <xf numFmtId="44" fontId="5" fillId="2" borderId="0" xfId="2" applyFont="1" applyFill="1" applyAlignment="1">
      <alignment horizontal="center" wrapText="1"/>
    </xf>
    <xf numFmtId="165" fontId="5" fillId="2" borderId="0" xfId="1" applyNumberFormat="1" applyFont="1" applyFill="1"/>
    <xf numFmtId="0" fontId="5" fillId="2" borderId="0" xfId="0" applyFont="1" applyFill="1" applyAlignment="1">
      <alignment horizontal="left" wrapText="1"/>
    </xf>
    <xf numFmtId="168" fontId="5" fillId="2" borderId="4" xfId="1" applyNumberFormat="1" applyFont="1" applyFill="1" applyBorder="1"/>
    <xf numFmtId="0" fontId="5" fillId="2" borderId="0" xfId="0" applyFont="1" applyFill="1" applyBorder="1" applyAlignment="1">
      <alignment horizontal="center"/>
    </xf>
    <xf numFmtId="0" fontId="24" fillId="2" borderId="0" xfId="0" applyFont="1" applyFill="1" applyBorder="1" applyAlignment="1"/>
    <xf numFmtId="42" fontId="5" fillId="2" borderId="0" xfId="1" applyNumberFormat="1" applyFont="1" applyFill="1" applyBorder="1"/>
    <xf numFmtId="44" fontId="5" fillId="2" borderId="0" xfId="2" applyFont="1" applyFill="1" applyBorder="1"/>
    <xf numFmtId="165" fontId="5" fillId="2" borderId="0" xfId="1" applyNumberFormat="1" applyFont="1" applyFill="1" applyBorder="1"/>
    <xf numFmtId="0" fontId="5" fillId="2" borderId="0" xfId="0" applyFont="1" applyFill="1" applyAlignment="1">
      <alignment horizontal="center" wrapText="1"/>
    </xf>
    <xf numFmtId="0" fontId="5" fillId="2" borderId="0" xfId="0" applyFont="1" applyFill="1" applyBorder="1" applyAlignment="1">
      <alignment horizontal="center" wrapText="1"/>
    </xf>
    <xf numFmtId="43" fontId="5" fillId="2" borderId="0" xfId="0" applyNumberFormat="1" applyFont="1" applyFill="1" applyBorder="1"/>
    <xf numFmtId="14" fontId="5" fillId="2" borderId="0" xfId="0" applyNumberFormat="1" applyFont="1" applyFill="1" applyBorder="1"/>
    <xf numFmtId="0" fontId="5" fillId="2" borderId="0" xfId="0" applyFont="1" applyFill="1" applyAlignment="1">
      <alignment horizontal="center" wrapText="1"/>
    </xf>
    <xf numFmtId="43" fontId="5" fillId="2" borderId="0" xfId="0" applyNumberFormat="1" applyFont="1" applyFill="1" applyAlignment="1">
      <alignment horizontal="left" indent="1"/>
    </xf>
    <xf numFmtId="168" fontId="24" fillId="2" borderId="4" xfId="1" applyNumberFormat="1" applyFont="1" applyFill="1" applyBorder="1"/>
    <xf numFmtId="168" fontId="24" fillId="2" borderId="0" xfId="1" applyNumberFormat="1" applyFont="1" applyFill="1" applyBorder="1"/>
    <xf numFmtId="170" fontId="24" fillId="2" borderId="2" xfId="1" applyNumberFormat="1" applyFont="1" applyFill="1" applyBorder="1"/>
    <xf numFmtId="170" fontId="24" fillId="2" borderId="0" xfId="1" applyNumberFormat="1" applyFont="1" applyFill="1" applyBorder="1"/>
    <xf numFmtId="170" fontId="24" fillId="2" borderId="0" xfId="0" applyNumberFormat="1" applyFont="1" applyFill="1"/>
    <xf numFmtId="168" fontId="24" fillId="2" borderId="0" xfId="1" applyNumberFormat="1" applyFont="1" applyFill="1"/>
    <xf numFmtId="0" fontId="24" fillId="2" borderId="0" xfId="0" applyFont="1" applyFill="1" applyAlignment="1">
      <alignment horizontal="center" wrapText="1"/>
    </xf>
    <xf numFmtId="168" fontId="24" fillId="2" borderId="0" xfId="0" applyNumberFormat="1" applyFont="1" applyFill="1"/>
    <xf numFmtId="43" fontId="24" fillId="2" borderId="0" xfId="0" applyNumberFormat="1" applyFont="1" applyFill="1"/>
    <xf numFmtId="165" fontId="24" fillId="2" borderId="0" xfId="1" applyNumberFormat="1" applyFont="1" applyFill="1"/>
    <xf numFmtId="165" fontId="24" fillId="2" borderId="0" xfId="1" applyNumberFormat="1" applyFont="1" applyFill="1" applyBorder="1"/>
    <xf numFmtId="168" fontId="24" fillId="2" borderId="0" xfId="0" applyNumberFormat="1" applyFont="1" applyFill="1" applyBorder="1"/>
    <xf numFmtId="0" fontId="24" fillId="2" borderId="0" xfId="0" applyFont="1" applyFill="1" applyBorder="1"/>
    <xf numFmtId="43" fontId="24" fillId="2" borderId="0" xfId="0" applyNumberFormat="1" applyFont="1" applyFill="1" applyBorder="1"/>
    <xf numFmtId="170" fontId="24" fillId="2" borderId="2" xfId="0" applyNumberFormat="1" applyFont="1" applyFill="1" applyBorder="1"/>
    <xf numFmtId="170" fontId="24" fillId="2" borderId="0" xfId="0" applyNumberFormat="1" applyFont="1" applyFill="1" applyBorder="1"/>
    <xf numFmtId="170" fontId="24" fillId="2" borderId="0" xfId="1" applyNumberFormat="1" applyFont="1" applyFill="1"/>
    <xf numFmtId="170" fontId="24" fillId="2" borderId="7" xfId="1" applyNumberFormat="1" applyFont="1" applyFill="1" applyBorder="1"/>
    <xf numFmtId="0" fontId="5" fillId="2" borderId="0" xfId="0" applyFont="1" applyFill="1" applyAlignment="1">
      <alignment horizontal="left"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7" fillId="2" borderId="0" xfId="0" applyFont="1" applyFill="1"/>
    <xf numFmtId="168" fontId="7" fillId="2" borderId="0" xfId="1" applyNumberFormat="1" applyFont="1" applyFill="1"/>
    <xf numFmtId="168" fontId="7" fillId="2" borderId="0" xfId="1" applyNumberFormat="1" applyFont="1" applyFill="1" applyBorder="1"/>
    <xf numFmtId="0" fontId="7" fillId="2" borderId="0" xfId="0" applyFont="1" applyFill="1" applyAlignment="1">
      <alignment horizontal="center" wrapText="1"/>
    </xf>
    <xf numFmtId="0" fontId="7" fillId="2" borderId="0" xfId="0" applyFont="1" applyFill="1" applyAlignment="1">
      <alignment horizontal="left" indent="2"/>
    </xf>
    <xf numFmtId="170" fontId="7" fillId="2" borderId="0" xfId="1" applyNumberFormat="1" applyFont="1" applyFill="1"/>
    <xf numFmtId="170" fontId="7" fillId="2" borderId="0" xfId="1" applyNumberFormat="1" applyFont="1" applyFill="1" applyBorder="1"/>
    <xf numFmtId="170" fontId="7" fillId="2" borderId="0" xfId="0" applyNumberFormat="1" applyFont="1" applyFill="1" applyAlignment="1">
      <alignment horizontal="center" wrapText="1"/>
    </xf>
    <xf numFmtId="43" fontId="7" fillId="2" borderId="0" xfId="0" applyNumberFormat="1" applyFont="1" applyFill="1"/>
    <xf numFmtId="171" fontId="24" fillId="2" borderId="0" xfId="2" applyNumberFormat="1" applyFont="1" applyFill="1"/>
    <xf numFmtId="171" fontId="24" fillId="2" borderId="0" xfId="2" applyNumberFormat="1" applyFont="1" applyFill="1" applyBorder="1"/>
    <xf numFmtId="0" fontId="5" fillId="2" borderId="0" xfId="0" applyFont="1" applyFill="1" applyAlignment="1">
      <alignment horizontal="center"/>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Continuous"/>
    </xf>
    <xf numFmtId="0" fontId="5" fillId="2" borderId="0" xfId="0" applyFont="1" applyFill="1" applyAlignment="1">
      <alignment horizontal="center" wrapText="1"/>
    </xf>
    <xf numFmtId="0" fontId="7" fillId="2" borderId="0" xfId="0" applyFont="1" applyFill="1" applyAlignment="1">
      <alignment horizontal="left" wrapText="1"/>
    </xf>
    <xf numFmtId="0" fontId="5" fillId="2" borderId="0" xfId="0" applyFont="1" applyFill="1" applyAlignment="1">
      <alignment horizontal="center" wrapText="1"/>
    </xf>
    <xf numFmtId="165" fontId="24" fillId="2" borderId="0" xfId="1" applyNumberFormat="1" applyFont="1" applyFill="1" applyAlignment="1">
      <alignment horizontal="right"/>
    </xf>
    <xf numFmtId="0" fontId="25" fillId="2" borderId="0" xfId="0" applyFont="1" applyFill="1"/>
    <xf numFmtId="0" fontId="7" fillId="2" borderId="0" xfId="0" applyFont="1" applyFill="1" applyAlignment="1"/>
    <xf numFmtId="0" fontId="5" fillId="2" borderId="0" xfId="0" applyFont="1" applyFill="1" applyAlignment="1">
      <alignment horizontal="left" indent="1"/>
    </xf>
    <xf numFmtId="43" fontId="5" fillId="2" borderId="0" xfId="0" applyNumberFormat="1" applyFont="1" applyFill="1" applyAlignment="1">
      <alignment horizontal="left" indent="3"/>
    </xf>
    <xf numFmtId="165" fontId="24" fillId="0" borderId="0" xfId="1" applyNumberFormat="1" applyFont="1" applyFill="1" applyAlignment="1">
      <alignment horizontal="right"/>
    </xf>
    <xf numFmtId="0" fontId="5" fillId="2" borderId="0" xfId="0" applyFont="1" applyFill="1" applyAlignment="1">
      <alignment horizontal="center" wrapText="1"/>
    </xf>
    <xf numFmtId="0" fontId="5"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wrapText="1"/>
    </xf>
    <xf numFmtId="165" fontId="5" fillId="2" borderId="0" xfId="0" applyNumberFormat="1" applyFont="1" applyFill="1"/>
    <xf numFmtId="0" fontId="7" fillId="2" borderId="0" xfId="0" applyFont="1" applyFill="1" applyAlignment="1">
      <alignment horizontal="left" wrapText="1"/>
    </xf>
    <xf numFmtId="0" fontId="5" fillId="2" borderId="0" xfId="0" applyFont="1" applyFill="1" applyAlignment="1">
      <alignment horizontal="center" wrapText="1"/>
    </xf>
    <xf numFmtId="0" fontId="26" fillId="2" borderId="0" xfId="0" applyFont="1" applyFill="1"/>
    <xf numFmtId="0" fontId="5" fillId="2" borderId="0" xfId="0" applyFont="1" applyFill="1" applyAlignment="1">
      <alignment horizontal="center" wrapText="1"/>
    </xf>
    <xf numFmtId="0" fontId="5" fillId="2" borderId="0" xfId="0" applyFont="1" applyFill="1" applyAlignment="1">
      <alignment horizontal="center" wrapText="1"/>
    </xf>
    <xf numFmtId="0" fontId="24" fillId="2" borderId="0" xfId="0" applyFont="1" applyFill="1" applyBorder="1" applyAlignment="1">
      <alignment horizontal="center"/>
    </xf>
    <xf numFmtId="43" fontId="5" fillId="2" borderId="0" xfId="1" applyFont="1" applyFill="1"/>
    <xf numFmtId="0" fontId="5" fillId="2" borderId="0" xfId="0" applyFont="1" applyFill="1" applyAlignment="1">
      <alignment horizontal="center" wrapText="1"/>
    </xf>
    <xf numFmtId="171" fontId="5" fillId="2" borderId="0" xfId="1" applyNumberFormat="1" applyFont="1" applyFill="1"/>
    <xf numFmtId="0" fontId="5" fillId="2" borderId="0" xfId="0" applyFont="1" applyFill="1" applyAlignment="1">
      <alignment horizontal="center" wrapText="1"/>
    </xf>
    <xf numFmtId="168" fontId="5" fillId="0" borderId="1" xfId="1" applyNumberFormat="1" applyFont="1" applyFill="1" applyBorder="1"/>
    <xf numFmtId="0" fontId="5" fillId="2" borderId="0" xfId="0" applyFont="1" applyFill="1" applyAlignment="1">
      <alignment horizontal="center"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wrapText="1"/>
    </xf>
    <xf numFmtId="0" fontId="5" fillId="2" borderId="0" xfId="0" applyFont="1" applyFill="1" applyAlignment="1">
      <alignment horizontal="center" wrapText="1"/>
    </xf>
    <xf numFmtId="165" fontId="24" fillId="0" borderId="0" xfId="1" applyNumberFormat="1" applyFont="1" applyFill="1"/>
    <xf numFmtId="170" fontId="7" fillId="0" borderId="0" xfId="1" applyNumberFormat="1" applyFont="1" applyFill="1"/>
    <xf numFmtId="0" fontId="5" fillId="2" borderId="0" xfId="0" applyFont="1" applyFill="1" applyAlignment="1">
      <alignment horizontal="center" wrapText="1"/>
    </xf>
    <xf numFmtId="168" fontId="5" fillId="0" borderId="0" xfId="1" applyNumberFormat="1" applyFont="1" applyFill="1" applyBorder="1"/>
    <xf numFmtId="0" fontId="5" fillId="2" borderId="0" xfId="0" applyFont="1" applyFill="1" applyAlignment="1">
      <alignment horizontal="center" wrapText="1"/>
    </xf>
    <xf numFmtId="0" fontId="24" fillId="2" borderId="0" xfId="0" applyFont="1" applyFill="1" applyBorder="1" applyAlignment="1">
      <alignment horizontal="center"/>
    </xf>
    <xf numFmtId="0" fontId="27" fillId="2" borderId="0" xfId="0" applyFont="1" applyFill="1" applyAlignment="1">
      <alignment wrapText="1"/>
    </xf>
    <xf numFmtId="0" fontId="5" fillId="2" borderId="0" xfId="0" applyFont="1" applyFill="1" applyAlignment="1"/>
    <xf numFmtId="0" fontId="20" fillId="2" borderId="0" xfId="0" applyFont="1" applyFill="1" applyAlignment="1">
      <alignment horizontal="center"/>
    </xf>
    <xf numFmtId="0" fontId="5" fillId="2" borderId="0" xfId="0" applyFont="1" applyFill="1" applyBorder="1" applyAlignment="1">
      <alignment horizontal="center" wrapText="1"/>
    </xf>
    <xf numFmtId="0" fontId="5" fillId="2" borderId="0" xfId="0" applyFont="1" applyFill="1" applyAlignment="1">
      <alignment horizontal="center" wrapText="1"/>
    </xf>
    <xf numFmtId="0" fontId="5" fillId="2" borderId="0" xfId="0" applyFont="1" applyFill="1" applyAlignment="1">
      <alignment horizontal="center" wrapText="1"/>
    </xf>
    <xf numFmtId="164" fontId="5" fillId="2" borderId="0" xfId="2" applyNumberFormat="1" applyFont="1" applyFill="1"/>
    <xf numFmtId="169" fontId="5" fillId="2" borderId="1" xfId="0" applyNumberFormat="1" applyFont="1" applyFill="1" applyBorder="1"/>
    <xf numFmtId="0" fontId="5" fillId="0" borderId="0" xfId="0" applyFont="1" applyFill="1" applyBorder="1" applyAlignment="1">
      <alignment horizontal="center"/>
    </xf>
    <xf numFmtId="0" fontId="5" fillId="0" borderId="0" xfId="0" applyFont="1" applyFill="1"/>
    <xf numFmtId="168" fontId="5" fillId="0" borderId="0" xfId="0" applyNumberFormat="1" applyFont="1" applyFill="1"/>
    <xf numFmtId="168" fontId="24" fillId="0" borderId="0" xfId="0" applyNumberFormat="1" applyFont="1" applyFill="1"/>
    <xf numFmtId="0" fontId="5" fillId="0" borderId="0" xfId="0" applyFont="1" applyFill="1" applyAlignment="1">
      <alignment horizontal="center" wrapText="1"/>
    </xf>
    <xf numFmtId="171" fontId="5" fillId="0" borderId="0" xfId="1" applyNumberFormat="1" applyFont="1" applyFill="1"/>
    <xf numFmtId="168" fontId="24" fillId="0" borderId="0" xfId="1" applyNumberFormat="1" applyFont="1" applyFill="1"/>
    <xf numFmtId="170" fontId="24" fillId="0" borderId="7" xfId="1" applyNumberFormat="1" applyFont="1" applyFill="1" applyBorder="1"/>
    <xf numFmtId="170" fontId="5" fillId="0" borderId="0" xfId="1" applyNumberFormat="1" applyFont="1" applyFill="1"/>
    <xf numFmtId="170" fontId="24" fillId="0" borderId="2" xfId="1" applyNumberFormat="1" applyFont="1" applyFill="1" applyBorder="1"/>
    <xf numFmtId="0" fontId="5" fillId="2" borderId="0" xfId="0" applyFont="1" applyFill="1" applyBorder="1" applyAlignment="1">
      <alignment horizontal="center" wrapText="1"/>
    </xf>
    <xf numFmtId="0" fontId="24" fillId="3" borderId="5" xfId="0" applyFont="1" applyFill="1" applyBorder="1" applyAlignment="1">
      <alignment horizontal="center"/>
    </xf>
    <xf numFmtId="0" fontId="24" fillId="3" borderId="3" xfId="0" applyFont="1" applyFill="1" applyBorder="1" applyAlignment="1">
      <alignment horizontal="center"/>
    </xf>
    <xf numFmtId="0" fontId="24" fillId="3" borderId="6" xfId="0" applyFont="1" applyFill="1" applyBorder="1" applyAlignment="1">
      <alignment horizontal="center"/>
    </xf>
    <xf numFmtId="0" fontId="5" fillId="2" borderId="4" xfId="0" applyFont="1" applyFill="1" applyBorder="1" applyAlignment="1">
      <alignment horizontal="center" wrapText="1"/>
    </xf>
    <xf numFmtId="0" fontId="20" fillId="2" borderId="0" xfId="0" applyFont="1" applyFill="1" applyAlignment="1">
      <alignment horizontal="center"/>
    </xf>
    <xf numFmtId="0" fontId="20" fillId="2" borderId="0" xfId="0" applyFont="1" applyFill="1" applyAlignment="1">
      <alignment horizontal="center" wrapText="1"/>
    </xf>
    <xf numFmtId="0" fontId="5" fillId="2" borderId="0" xfId="0" applyFont="1" applyFill="1" applyAlignment="1">
      <alignment horizontal="center"/>
    </xf>
    <xf numFmtId="0" fontId="7" fillId="2" borderId="0" xfId="0" applyFont="1" applyFill="1" applyAlignment="1">
      <alignment horizontal="left" wrapText="1"/>
    </xf>
    <xf numFmtId="0" fontId="27" fillId="2" borderId="0" xfId="0" applyFont="1" applyFill="1" applyAlignment="1">
      <alignment horizontal="left" vertical="center" wrapText="1"/>
    </xf>
    <xf numFmtId="0" fontId="24" fillId="2" borderId="0" xfId="0" applyFont="1" applyFill="1" applyBorder="1" applyAlignment="1">
      <alignment horizontal="center"/>
    </xf>
    <xf numFmtId="0" fontId="8" fillId="0" borderId="0" xfId="0" applyNumberFormat="1" applyFont="1" applyFill="1" applyBorder="1" applyAlignment="1">
      <alignment vertical="top" wrapText="1"/>
    </xf>
    <xf numFmtId="0" fontId="7" fillId="0" borderId="0" xfId="0" applyFont="1" applyFill="1" applyBorder="1" applyAlignment="1">
      <alignment wrapText="1"/>
    </xf>
    <xf numFmtId="0" fontId="7" fillId="0" borderId="0" xfId="0" applyFont="1" applyFill="1" applyBorder="1"/>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vertical="top" wrapText="1"/>
    </xf>
    <xf numFmtId="0" fontId="13" fillId="0" borderId="0" xfId="0" applyFont="1" applyFill="1" applyBorder="1" applyAlignment="1">
      <alignment horizontal="center"/>
    </xf>
    <xf numFmtId="0" fontId="10" fillId="0" borderId="0" xfId="0" applyNumberFormat="1" applyFont="1" applyFill="1" applyBorder="1" applyAlignment="1">
      <alignment vertical="top" wrapText="1"/>
    </xf>
    <xf numFmtId="38" fontId="8" fillId="0" borderId="0" xfId="0" applyNumberFormat="1" applyFont="1" applyFill="1" applyBorder="1" applyAlignment="1">
      <alignment horizontal="left" vertical="center" wrapText="1"/>
    </xf>
    <xf numFmtId="0" fontId="5" fillId="2" borderId="0" xfId="0" applyFont="1" applyFill="1" applyAlignment="1">
      <alignment horizontal="center" wrapText="1"/>
    </xf>
  </cellXfs>
  <cellStyles count="4">
    <cellStyle name="Comma" xfId="1" builtinId="3"/>
    <cellStyle name="Currency" xfId="2" builtinId="4"/>
    <cellStyle name="Normal" xfId="0" builtinId="0" customBuiltin="1"/>
    <cellStyle name="Percent" xfId="3" builtinId="5"/>
  </cellStyles>
  <dxfs count="0"/>
  <tableStyles count="0" defaultTableStyle="TableStyleMedium9" defaultPivotStyle="PivotStyleLight16"/>
  <colors>
    <mruColors>
      <color rgb="FF77C043"/>
      <color rgb="FFFFFFCC"/>
      <color rgb="FF3AB03A"/>
      <color rgb="FF3EBC3E"/>
      <color rgb="FF339933"/>
      <color rgb="FF00CC00"/>
      <color rgb="FF33CC33"/>
      <color rgb="FF400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1</xdr:row>
      <xdr:rowOff>139700</xdr:rowOff>
    </xdr:from>
    <xdr:to>
      <xdr:col>3</xdr:col>
      <xdr:colOff>2133600</xdr:colOff>
      <xdr:row>6</xdr:row>
      <xdr:rowOff>160987</xdr:rowOff>
    </xdr:to>
    <xdr:pic>
      <xdr:nvPicPr>
        <xdr:cNvPr id="2" name="Picture 1">
          <a:extLst>
            <a:ext uri="{FF2B5EF4-FFF2-40B4-BE49-F238E27FC236}">
              <a16:creationId xmlns:a16="http://schemas.microsoft.com/office/drawing/2014/main" id="{54EA4F48-050D-044D-8D99-A399A6782F54}"/>
            </a:ext>
          </a:extLst>
        </xdr:cNvPr>
        <xdr:cNvPicPr>
          <a:picLocks noChangeAspect="1"/>
        </xdr:cNvPicPr>
      </xdr:nvPicPr>
      <xdr:blipFill>
        <a:blip xmlns:r="http://schemas.openxmlformats.org/officeDocument/2006/relationships" r:embed="rId1"/>
        <a:stretch>
          <a:fillRect/>
        </a:stretch>
      </xdr:blipFill>
      <xdr:spPr>
        <a:xfrm>
          <a:off x="457200" y="317500"/>
          <a:ext cx="3683000" cy="910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114300</xdr:rowOff>
    </xdr:from>
    <xdr:to>
      <xdr:col>0</xdr:col>
      <xdr:colOff>3048000</xdr:colOff>
      <xdr:row>4</xdr:row>
      <xdr:rowOff>45857</xdr:rowOff>
    </xdr:to>
    <xdr:pic>
      <xdr:nvPicPr>
        <xdr:cNvPr id="3" name="Picture 2">
          <a:extLst>
            <a:ext uri="{FF2B5EF4-FFF2-40B4-BE49-F238E27FC236}">
              <a16:creationId xmlns:a16="http://schemas.microsoft.com/office/drawing/2014/main" id="{A93969E9-60AB-2A49-95F2-737A158F595E}"/>
            </a:ext>
          </a:extLst>
        </xdr:cNvPr>
        <xdr:cNvPicPr>
          <a:picLocks noChangeAspect="1"/>
        </xdr:cNvPicPr>
      </xdr:nvPicPr>
      <xdr:blipFill>
        <a:blip xmlns:r="http://schemas.openxmlformats.org/officeDocument/2006/relationships" r:embed="rId1"/>
        <a:stretch>
          <a:fillRect/>
        </a:stretch>
      </xdr:blipFill>
      <xdr:spPr>
        <a:xfrm>
          <a:off x="190500" y="114300"/>
          <a:ext cx="2857500" cy="7062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256117</xdr:colOff>
      <xdr:row>0</xdr:row>
      <xdr:rowOff>164041</xdr:rowOff>
    </xdr:from>
    <xdr:to>
      <xdr:col>0</xdr:col>
      <xdr:colOff>3113617</xdr:colOff>
      <xdr:row>4</xdr:row>
      <xdr:rowOff>146398</xdr:rowOff>
    </xdr:to>
    <xdr:pic>
      <xdr:nvPicPr>
        <xdr:cNvPr id="3" name="Picture 2">
          <a:extLst>
            <a:ext uri="{FF2B5EF4-FFF2-40B4-BE49-F238E27FC236}">
              <a16:creationId xmlns:a16="http://schemas.microsoft.com/office/drawing/2014/main" id="{761F6618-06A3-354F-AB87-23A6A64AD108}"/>
            </a:ext>
          </a:extLst>
        </xdr:cNvPr>
        <xdr:cNvPicPr>
          <a:picLocks noChangeAspect="1"/>
        </xdr:cNvPicPr>
      </xdr:nvPicPr>
      <xdr:blipFill>
        <a:blip xmlns:r="http://schemas.openxmlformats.org/officeDocument/2006/relationships" r:embed="rId1"/>
        <a:stretch>
          <a:fillRect/>
        </a:stretch>
      </xdr:blipFill>
      <xdr:spPr>
        <a:xfrm>
          <a:off x="256117" y="164041"/>
          <a:ext cx="2857500" cy="7062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152400</xdr:rowOff>
    </xdr:from>
    <xdr:to>
      <xdr:col>0</xdr:col>
      <xdr:colOff>3048000</xdr:colOff>
      <xdr:row>4</xdr:row>
      <xdr:rowOff>71257</xdr:rowOff>
    </xdr:to>
    <xdr:pic>
      <xdr:nvPicPr>
        <xdr:cNvPr id="3" name="Picture 2">
          <a:extLst>
            <a:ext uri="{FF2B5EF4-FFF2-40B4-BE49-F238E27FC236}">
              <a16:creationId xmlns:a16="http://schemas.microsoft.com/office/drawing/2014/main" id="{5DE51DA2-56BF-8444-952C-629D7A40958D}"/>
            </a:ext>
          </a:extLst>
        </xdr:cNvPr>
        <xdr:cNvPicPr>
          <a:picLocks noChangeAspect="1"/>
        </xdr:cNvPicPr>
      </xdr:nvPicPr>
      <xdr:blipFill>
        <a:blip xmlns:r="http://schemas.openxmlformats.org/officeDocument/2006/relationships" r:embed="rId1"/>
        <a:stretch>
          <a:fillRect/>
        </a:stretch>
      </xdr:blipFill>
      <xdr:spPr>
        <a:xfrm>
          <a:off x="190500" y="152400"/>
          <a:ext cx="2857500" cy="7062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139700</xdr:rowOff>
    </xdr:from>
    <xdr:to>
      <xdr:col>0</xdr:col>
      <xdr:colOff>3009900</xdr:colOff>
      <xdr:row>4</xdr:row>
      <xdr:rowOff>58557</xdr:rowOff>
    </xdr:to>
    <xdr:pic>
      <xdr:nvPicPr>
        <xdr:cNvPr id="3" name="Picture 2">
          <a:extLst>
            <a:ext uri="{FF2B5EF4-FFF2-40B4-BE49-F238E27FC236}">
              <a16:creationId xmlns:a16="http://schemas.microsoft.com/office/drawing/2014/main" id="{31FB3BFC-41F8-B243-A542-661A768E2EFE}"/>
            </a:ext>
          </a:extLst>
        </xdr:cNvPr>
        <xdr:cNvPicPr>
          <a:picLocks noChangeAspect="1"/>
        </xdr:cNvPicPr>
      </xdr:nvPicPr>
      <xdr:blipFill>
        <a:blip xmlns:r="http://schemas.openxmlformats.org/officeDocument/2006/relationships" r:embed="rId1"/>
        <a:stretch>
          <a:fillRect/>
        </a:stretch>
      </xdr:blipFill>
      <xdr:spPr>
        <a:xfrm>
          <a:off x="152400" y="139700"/>
          <a:ext cx="2857500" cy="7062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101600</xdr:rowOff>
    </xdr:from>
    <xdr:to>
      <xdr:col>0</xdr:col>
      <xdr:colOff>3048000</xdr:colOff>
      <xdr:row>4</xdr:row>
      <xdr:rowOff>33157</xdr:rowOff>
    </xdr:to>
    <xdr:pic>
      <xdr:nvPicPr>
        <xdr:cNvPr id="3" name="Picture 2">
          <a:extLst>
            <a:ext uri="{FF2B5EF4-FFF2-40B4-BE49-F238E27FC236}">
              <a16:creationId xmlns:a16="http://schemas.microsoft.com/office/drawing/2014/main" id="{104AE56B-7789-EE48-B0FF-73D0353CF954}"/>
            </a:ext>
          </a:extLst>
        </xdr:cNvPr>
        <xdr:cNvPicPr>
          <a:picLocks noChangeAspect="1"/>
        </xdr:cNvPicPr>
      </xdr:nvPicPr>
      <xdr:blipFill>
        <a:blip xmlns:r="http://schemas.openxmlformats.org/officeDocument/2006/relationships" r:embed="rId1"/>
        <a:stretch>
          <a:fillRect/>
        </a:stretch>
      </xdr:blipFill>
      <xdr:spPr>
        <a:xfrm>
          <a:off x="190500" y="101600"/>
          <a:ext cx="2857500" cy="7062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165100</xdr:colOff>
      <xdr:row>0</xdr:row>
      <xdr:rowOff>139700</xdr:rowOff>
    </xdr:from>
    <xdr:to>
      <xdr:col>0</xdr:col>
      <xdr:colOff>3022600</xdr:colOff>
      <xdr:row>4</xdr:row>
      <xdr:rowOff>58557</xdr:rowOff>
    </xdr:to>
    <xdr:pic>
      <xdr:nvPicPr>
        <xdr:cNvPr id="3" name="Picture 2">
          <a:extLst>
            <a:ext uri="{FF2B5EF4-FFF2-40B4-BE49-F238E27FC236}">
              <a16:creationId xmlns:a16="http://schemas.microsoft.com/office/drawing/2014/main" id="{116DA27B-31DF-674D-8207-020EA91C3A2D}"/>
            </a:ext>
          </a:extLst>
        </xdr:cNvPr>
        <xdr:cNvPicPr>
          <a:picLocks noChangeAspect="1"/>
        </xdr:cNvPicPr>
      </xdr:nvPicPr>
      <xdr:blipFill>
        <a:blip xmlns:r="http://schemas.openxmlformats.org/officeDocument/2006/relationships" r:embed="rId1"/>
        <a:stretch>
          <a:fillRect/>
        </a:stretch>
      </xdr:blipFill>
      <xdr:spPr>
        <a:xfrm>
          <a:off x="165100" y="139700"/>
          <a:ext cx="2857500" cy="7062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6</xdr:row>
      <xdr:rowOff>76199</xdr:rowOff>
    </xdr:from>
    <xdr:to>
      <xdr:col>9</xdr:col>
      <xdr:colOff>0</xdr:colOff>
      <xdr:row>54</xdr:row>
      <xdr:rowOff>114300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28598" y="1066799"/>
          <a:ext cx="4914902" cy="8026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GoDaddy Inc. Notes</a:t>
          </a:r>
        </a:p>
        <a:p>
          <a:endParaRPr lang="en-US" sz="1000">
            <a:latin typeface="Arial" panose="020B0604020202020204" pitchFamily="34" charset="0"/>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bookings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Total bookings represents cash receipts from the sale of products to customers in a given period adjusted for products where we recognize revenue on a net basis and without giving effect to certain adjustments, primarily net refunds granted in the period. Total bookings provides valuable insight into the sales of our products and the performance of our business since we typically collect payment at the time of sale and recognize revenue ratably over the term of our customer contracts. We report total bookings without giving effect to refunds granted in the period because refunds often occur in periods different from the period of sale for reasons unrelated to the marketing efforts leading to the initial sale. Accordingly, by excluding net refunds, we believe total bookings reflects the effectiveness of our sales efforts in a given period.</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customers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We define a customer as an individual or entity, as of the end of a period, having an account with one or more paid product subscriptions. A single user may be counted as a customer more than once if the user maintains paid subscriptions in multiple accounts. Total customers is an indicator of the scale of our business and is a critical factor in our ability to increase our revenue base.</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Average revenue per user (ARPU)</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We calculate ARPU as total revenue during the preceding 12 month period divided by the average of the number of total customers at the beginning and end of the period. ARPU provides insight into our ability to sell additional products to customers, though the impact to date has been muted due to our continued growth in total customers. The impact of purchase accounting adjustments makes comparisons of ARPU among historical periods less </a:t>
          </a:r>
          <a: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t>meaningful; however, in future periods, as the effects of purchase accounting decrease, ARPU will become a more meaningful metric. </a:t>
          </a:r>
          <a:b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br>
          <a:endPar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r>
            <a:rPr lang="en-US" sz="1000" b="1" i="1">
              <a:solidFill>
                <a:sysClr val="windowText" lastClr="000000"/>
              </a:solidFill>
              <a:effectLst/>
              <a:latin typeface="Arial" panose="020B0604020202020204" pitchFamily="34" charset="0"/>
              <a:ea typeface="+mn-ea"/>
              <a:cs typeface="Arial" panose="020B0604020202020204" pitchFamily="34" charset="0"/>
            </a:rPr>
            <a:t>Unlevered Free Cash Flow</a:t>
          </a:r>
          <a:r>
            <a:rPr lang="en-US" sz="1000" b="0" i="0">
              <a:solidFill>
                <a:sysClr val="windowText" lastClr="000000"/>
              </a:solidFill>
              <a:effectLst/>
              <a:latin typeface="Arial" panose="020B0604020202020204" pitchFamily="34" charset="0"/>
              <a:ea typeface="+mn-ea"/>
              <a:cs typeface="Arial" panose="020B0604020202020204" pitchFamily="34" charset="0"/>
            </a:rPr>
            <a:t>. Unlevered free cash flow is a measure of our liquidity used by management to evaluate our business prior to the impact of our capital structure and restructuring and after purchases of property and equipment. Such liquidity can be used by us for strategic opportunities and strengthening our balance sheet. However, given our debt obligations, unlevered free cash flow does not represent residual cash flow available for discretionary expenses.</a:t>
          </a:r>
          <a:br>
            <a:rPr lang="en-US" sz="1000" b="0" i="0">
              <a:solidFill>
                <a:sysClr val="windowText" lastClr="000000"/>
              </a:solidFill>
              <a:effectLst/>
              <a:latin typeface="Arial" panose="020B0604020202020204" pitchFamily="34" charset="0"/>
              <a:ea typeface="+mn-ea"/>
              <a:cs typeface="Arial" panose="020B0604020202020204" pitchFamily="34" charset="0"/>
            </a:rPr>
          </a:b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1" dirty="0">
              <a:solidFill>
                <a:sysClr val="windowText" lastClr="000000"/>
              </a:solidFill>
              <a:effectLst/>
              <a:latin typeface="Arial" panose="020B0604020202020204" pitchFamily="34" charset="0"/>
              <a:ea typeface="+mn-ea"/>
              <a:cs typeface="Arial" panose="020B0604020202020204" pitchFamily="34" charset="0"/>
            </a:rPr>
            <a:t>Normalized EBITDA. </a:t>
          </a:r>
          <a:r>
            <a:rPr lang="en-US" sz="1000" b="0" i="0" dirty="0">
              <a:solidFill>
                <a:sysClr val="windowText" lastClr="000000"/>
              </a:solidFill>
              <a:effectLst/>
              <a:latin typeface="Arial" panose="020B0604020202020204" pitchFamily="34" charset="0"/>
              <a:ea typeface="+mn-ea"/>
              <a:cs typeface="Arial" panose="020B0604020202020204" pitchFamily="34" charset="0"/>
            </a:rPr>
            <a:t>Normalized EBITDA is a supplemental measure of our operating performance used by management to evaluate our business. We believe that the inclusion or exclusion of certain recurring and non-recurring items is necessary to provide the most accurate measure of core operating results and permits period-over-period comparisons of our operations. We calculate Normalized EBITDA as net income excluding depreciation and amortization, interest expense (net), provision or benefit for income taxes and TRA adjustments, equity-based compensation expense, acquisition-related costs and certain other certain items. </a:t>
          </a: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indent="0"/>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indent="0"/>
          <a:r>
            <a:rPr lang="en-US" sz="1000" b="1" i="1">
              <a:solidFill>
                <a:sysClr val="windowText" lastClr="000000"/>
              </a:solidFill>
              <a:effectLst/>
              <a:latin typeface="Arial" panose="020B0604020202020204" pitchFamily="34" charset="0"/>
              <a:ea typeface="+mn-ea"/>
              <a:cs typeface="Arial" panose="020B0604020202020204" pitchFamily="34" charset="0"/>
            </a:rPr>
            <a:t>Net Debt. </a:t>
          </a:r>
          <a:r>
            <a:rPr lang="en-US" sz="1000" b="0" i="0">
              <a:solidFill>
                <a:sysClr val="windowText" lastClr="000000"/>
              </a:solidFill>
              <a:effectLst/>
              <a:latin typeface="Arial" panose="020B0604020202020204" pitchFamily="34" charset="0"/>
              <a:ea typeface="+mn-ea"/>
              <a:cs typeface="Arial" panose="020B0604020202020204" pitchFamily="34" charset="0"/>
            </a:rPr>
            <a:t>We define net debt as total debt less cash and cash equivalents and short-term investments. Total debt consists of the current portion of long-term debt plus long-term debt, unamortized original issue discount and unamortized debt issuance costs. Our management reviews net debt as part of its management of our overall liquidity, financial flexibility, capital structure and leverage  and we believe such information is useful to investors. Furthermore, certain analysts and debt rating agencies monitor our net debt as part of their assessments of our business.</a:t>
          </a:r>
        </a:p>
      </xdr:txBody>
    </xdr:sp>
    <xdr:clientData/>
  </xdr:twoCellAnchor>
  <xdr:twoCellAnchor editAs="oneCell">
    <xdr:from>
      <xdr:col>0</xdr:col>
      <xdr:colOff>215900</xdr:colOff>
      <xdr:row>0</xdr:row>
      <xdr:rowOff>127000</xdr:rowOff>
    </xdr:from>
    <xdr:to>
      <xdr:col>5</xdr:col>
      <xdr:colOff>215900</xdr:colOff>
      <xdr:row>5</xdr:row>
      <xdr:rowOff>7757</xdr:rowOff>
    </xdr:to>
    <xdr:pic>
      <xdr:nvPicPr>
        <xdr:cNvPr id="5" name="Picture 4">
          <a:extLst>
            <a:ext uri="{FF2B5EF4-FFF2-40B4-BE49-F238E27FC236}">
              <a16:creationId xmlns:a16="http://schemas.microsoft.com/office/drawing/2014/main" id="{05545783-0A9E-F546-9874-2EEE9C58ED0D}"/>
            </a:ext>
          </a:extLst>
        </xdr:cNvPr>
        <xdr:cNvPicPr>
          <a:picLocks noChangeAspect="1"/>
        </xdr:cNvPicPr>
      </xdr:nvPicPr>
      <xdr:blipFill>
        <a:blip xmlns:r="http://schemas.openxmlformats.org/officeDocument/2006/relationships" r:embed="rId1"/>
        <a:stretch>
          <a:fillRect/>
        </a:stretch>
      </xdr:blipFill>
      <xdr:spPr>
        <a:xfrm>
          <a:off x="215900" y="127000"/>
          <a:ext cx="2857500" cy="7062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200026</xdr:colOff>
      <xdr:row>0</xdr:row>
      <xdr:rowOff>85725</xdr:rowOff>
    </xdr:from>
    <xdr:to>
      <xdr:col>13</xdr:col>
      <xdr:colOff>38100</xdr:colOff>
      <xdr:row>65</xdr:row>
      <xdr:rowOff>9526</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61951" y="85725"/>
          <a:ext cx="9296399" cy="1083945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ysClr val="windowText" lastClr="000000"/>
              </a:solidFill>
              <a:latin typeface="Arial"/>
              <a:cs typeface="Arial"/>
            </a:rPr>
            <a:t>IV)  Yahoo! Inc.</a:t>
          </a:r>
        </a:p>
        <a:p>
          <a:pPr algn="l" rtl="0">
            <a:defRPr sz="1000"/>
          </a:pPr>
          <a:r>
            <a:rPr lang="en-US" sz="1000" b="1" i="0" u="none" strike="noStrike" baseline="0">
              <a:solidFill>
                <a:sysClr val="windowText" lastClr="000000"/>
              </a:solidFill>
              <a:latin typeface="Arial"/>
              <a:cs typeface="Arial"/>
            </a:rPr>
            <a:t>      Notes to Condensed Consolidated Financial Information</a:t>
          </a:r>
        </a:p>
        <a:p>
          <a:pPr algn="l" rtl="0">
            <a:defRPr sz="1000"/>
          </a:pPr>
          <a:endParaRPr lang="en-US" sz="1000" b="1" i="0" u="none" strike="noStrike" baseline="0">
            <a:solidFill>
              <a:sysClr val="windowText" lastClr="000000"/>
            </a:solidFill>
            <a:latin typeface="Arial"/>
            <a:cs typeface="Arial"/>
          </a:endParaRPr>
        </a:p>
        <a:p>
          <a:r>
            <a:rPr lang="en-US" sz="1000">
              <a:effectLst/>
              <a:latin typeface="Arial" panose="020B0604020202020204" pitchFamily="34" charset="0"/>
              <a:ea typeface="+mn-ea"/>
              <a:cs typeface="Arial" panose="020B0604020202020204" pitchFamily="34" charset="0"/>
            </a:rPr>
            <a:t>The</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condensed consolidated financial information accompanying these notes include the non-GAAP financial measures of revenue excluding traffic acquisition costs (“revenue ex-TAC”); adjusted EBITDA; non-GAAP income from operations;  non-GAAP net earnings; non-GAAP net earnings per diluted share; and free cash flow, which are reconciled to revenue (in the case of revenue ex-TAC); net income (loss) attributable to Yahoo! Inc. (in the case of adjusted EBITDA and non-GAAP net earnings); income (loss) from operations; net income (loss) attributable to Yahoo! Inc. common stockholders per share – diluted; and net cash provided by (used in) operating activities, which we believe are the most comparable GAAP measures. Yahoo! Inc. (together with its consolidated subsidiaries, “Yahoo,” the “Company,” or “we”) uses these non-GAAP financial measures for internal managerial purposes and to facilitate period-to-period comparisons. We describe limitations specific to each non-GAAP financial measure below. Management generally compensates for limitations in the use of non-GAAP financial measures by relying on comparable GAAP financial measures and providing investors with a reconciliation of the non-GAAP financial measure to the most directly comparable GAAP financial measure or measures. Further, management uses non-GAAP financial measures only in addition to and in conjunction with results presented in accordance with GAAP. We believe that these non-GAAP financial measures reflect additional ways of viewing aspects of our operations that, when viewed with our GAAP results, provide a more complete understanding of factors and trends affecting our business. These non-GAAP measures should be considered as a supplement to, and not as a substitute for, or superior to, revenue, net income (loss) attributable to Yahoo! Inc., income (loss) from operations, net income  (loss)  attributable to Yahoo! Inc. common stockholders per share – diluted, and net cash provided by (used in) operating activities calculated in accordance with GAAP.</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Revenue ex-TAC is a non-GAAP financial measure defined as GAAP revenue less TAC that has been recorded as a cost of revenue. TAC consists of payments made to Affiliates, and payments made to companies that direct consumer and business traffic to Yahoo Properties.  Based on applicable accounting principles, TAC is recorded either as a cost of revenue or as a reduction of revenue.  We present revenue ex-TAC to provide investors a metric used by the Company for evaluation and decision-making purposes and to provide investors with comparable revenue numbers when comparing to our historical reported financial information. A limitation of revenue ex-TAC is that it is a measure we defined for internal and investor purposes that may be unique to the Company, and therefore it may not enhance the comparability of our results to those of other companies in our industry who have similar business arrangements but address the impact of TAC differently.  Management compensates for these limitations by also relying on the comparable GAAP financial measures of revenue and cost of revenue—TAC.</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Adjusted EBITDA is defined as net income (loss) attributable to Yahoo! Inc. before taxes, depreciation, amortization of intangible assets, stock-based compensation expense, other income, net (which includes interest), earnings in equity interests, net income attributable to noncontrolling interests and other gains, losses, and expenses that we do not believe are indicative of our ongoing results. We present adjusted EBITDA because the exclusion of certain gains, losses, and expenses facilitates comparisons of the operating performance of the Company on a period to period basis. Adjusted EBITDA has limitations as an analytical tool and should not be considered in isolation or as a substitute for results reported under GAAP. These limitations include: adjusted EBITDA does not reflect tax payments and such payments reflect a reduction in cash available to us; adjusted EBITDA does not reflect the periodic costs of certain capitalized tangible and intangible assets used in generating revenues in our businesses; adjusted EBITDA does not include stock-based compensation expense related to the Company’s workforce; adjusted EBITDA also excludes other income, net (which includes interest), earnings in equity interests, net income attributable to noncontrolling interests and other gains, losses, and expenses that we do not believe are indicative of our ongoing results, and these items may represent a reduction or increase in cash available to us; and adjusted EBITDA is a measure that may be unique to the Company, and therefore it may not enhance the comparability of our results to other companies in our industry. Management compensates for these limitations by also relying on the comparable GAAP financial measure of net income (loss) attributable to Yahoo! Inc., which includes taxes, depreciation, amortization, stock-based compensation expense, other income, net (which includes interest), earnings in equity interests, net income attributable to noncontrolling interests and the other gains, losses and expenses that are excluded from adjusted EBITDA.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income from operations is defined as income from operations excluding certain gains, losses, and expenses that we do not believe are indicative of our ongoing operating results and further adjusted to exclude stock-based compensation expense.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income from operations. We consider non-GAAP income from operations to be a profitability measure which facilitates the forecasting of our operating results for future periods and allows for the comparison of our results to historical periods. A limitation of non-GAAP income from operations is that it does not include all items that impact our income from operations for the period.  Management compensates for this limitation by also relying on the comparable GAAP financial measure of income from operations which includes the gains, losses, and expenses that are excluded from non-GAAP income from operations.</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net earnings  is defined as net income (loss) attributable to Yahoo! Inc. (which we sometimes refer to as net</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earnings) excluding certain gains, losses, expenses, and their related tax effects that we do not believe are indicative of our ongoing results and further adjusted to exclude stock-based compensation expense and its related tax effects.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net income and net income per share. We consider non-GAAP net earnings and non-GAAP net earnings per diluted share to be profitability measures which facilitate the forecasting of our results for future periods and allow for the comparison of our results to historical periods.  A limitation of non-GAAP net earnings and non-GAAP net earnings per diluted share is that they do not include all items that impact our net income and net income per diluted share for the period. Management compensates for this limitation by also relying on the comparable GAAP financial measures of net income (loss) attributable to Yahoo! Inc. and net income attributable to Yahoo! Inc. common stockholders per share - diluted, both of which include the gains, losses, expenses and related tax effects that are excluded from non-GAAP net earnings and non-GAAP net earnings per diluted share.</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Free cash flow is a non-GAAP financial measure defined as net cash provided by (used in) operating activities (adjusted to include excess tax benefits from stock-based awards), less acquisition of property and equipment, net and dividends received from equity investees. We consider free cash flow to be a liquidity measure which provides useful information to management and investors about the amount of cash generated by the business after the acquisition of property and equipment, which can then be used for strategic opportunities including, among others, investing in the Company's business, making strategic acquisitions, strengthening the balance sheet, and repurchasing stock.  A limitation of free cash flow is that it does not represent the total increase or decrease in the cash balance for the period.  Management compensates for this limitation by also relying on the net change in cash and cash equivalents as presented in the Company’s unaudited condensed consolidated statements of cash flows prepared in accordance with GAAP which incorporates all cash movements during the period.</a:t>
          </a: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 </a:t>
          </a:r>
        </a:p>
        <a:p>
          <a:pPr algn="l" rtl="0">
            <a:defRPr sz="1000"/>
          </a:pPr>
          <a:endParaRPr lang="en-US" sz="10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1:N41"/>
  <sheetViews>
    <sheetView tabSelected="1" workbookViewId="0"/>
  </sheetViews>
  <sheetFormatPr baseColWidth="10" defaultColWidth="9" defaultRowHeight="14"/>
  <cols>
    <col min="1" max="1" width="9" style="62"/>
    <col min="2" max="2" width="11.796875" style="62" customWidth="1"/>
    <col min="3" max="3" width="10.796875" style="62" customWidth="1"/>
    <col min="4" max="4" width="35" style="62" customWidth="1"/>
    <col min="5" max="6" width="9" style="62"/>
    <col min="7" max="13" width="6.796875" style="62" customWidth="1"/>
    <col min="14" max="16384" width="9" style="62"/>
  </cols>
  <sheetData>
    <row r="11" spans="2:14" ht="18.75" customHeight="1">
      <c r="B11" s="88" t="s">
        <v>10</v>
      </c>
      <c r="C11" s="79"/>
      <c r="D11" s="79"/>
      <c r="E11" s="79"/>
      <c r="F11" s="79"/>
      <c r="G11" s="79"/>
      <c r="H11" s="79"/>
      <c r="I11" s="79"/>
      <c r="J11" s="79"/>
      <c r="K11" s="79"/>
      <c r="L11" s="79"/>
      <c r="M11" s="79"/>
      <c r="N11" s="80"/>
    </row>
    <row r="12" spans="2:14" ht="18">
      <c r="B12" s="77"/>
      <c r="C12" s="77"/>
      <c r="D12" s="77"/>
      <c r="E12" s="77"/>
      <c r="F12" s="77"/>
      <c r="G12" s="77"/>
      <c r="H12" s="77"/>
      <c r="I12" s="77"/>
      <c r="J12" s="77"/>
      <c r="K12" s="77"/>
      <c r="L12" s="77"/>
      <c r="M12" s="77"/>
      <c r="N12" s="77"/>
    </row>
    <row r="13" spans="2:14" ht="18">
      <c r="B13" s="77"/>
      <c r="C13" s="77"/>
      <c r="D13" s="77"/>
      <c r="E13" s="77"/>
      <c r="F13" s="77"/>
      <c r="G13" s="77"/>
      <c r="H13" s="77"/>
      <c r="I13" s="77"/>
      <c r="J13" s="77"/>
      <c r="K13" s="77"/>
      <c r="L13" s="77"/>
      <c r="M13" s="77"/>
      <c r="N13" s="89" t="s">
        <v>0</v>
      </c>
    </row>
    <row r="14" spans="2:14" ht="18">
      <c r="B14" s="78" t="s">
        <v>16</v>
      </c>
      <c r="C14" s="77"/>
      <c r="D14" s="77"/>
      <c r="E14" s="77"/>
      <c r="F14" s="77"/>
      <c r="G14" s="77"/>
      <c r="H14" s="77"/>
      <c r="I14" s="77"/>
      <c r="J14" s="77"/>
      <c r="K14" s="77"/>
      <c r="L14" s="77"/>
      <c r="M14" s="77"/>
      <c r="N14" s="89"/>
    </row>
    <row r="15" spans="2:14" ht="18">
      <c r="B15" s="77"/>
      <c r="C15" s="77"/>
      <c r="D15" s="77"/>
      <c r="E15" s="77"/>
      <c r="F15" s="77"/>
      <c r="G15" s="77"/>
      <c r="H15" s="77"/>
      <c r="I15" s="77"/>
      <c r="J15" s="77"/>
      <c r="K15" s="77"/>
      <c r="L15" s="77"/>
      <c r="M15" s="77"/>
      <c r="N15" s="77"/>
    </row>
    <row r="16" spans="2:14" ht="18">
      <c r="B16" s="78" t="s">
        <v>94</v>
      </c>
      <c r="C16" s="78" t="s">
        <v>11</v>
      </c>
      <c r="D16" s="77"/>
      <c r="E16" s="77"/>
      <c r="F16" s="77"/>
      <c r="G16" s="77"/>
      <c r="H16" s="77"/>
      <c r="I16" s="77"/>
      <c r="J16" s="77"/>
      <c r="K16" s="77"/>
      <c r="L16" s="77"/>
      <c r="M16" s="77"/>
      <c r="N16" s="77">
        <v>1</v>
      </c>
    </row>
    <row r="17" spans="2:14" ht="18">
      <c r="B17" s="78"/>
      <c r="C17" s="78"/>
      <c r="D17" s="77"/>
      <c r="E17" s="77"/>
      <c r="F17" s="77"/>
      <c r="G17" s="77"/>
      <c r="H17" s="77"/>
      <c r="I17" s="77"/>
      <c r="J17" s="77"/>
      <c r="K17" s="77"/>
      <c r="L17" s="77"/>
      <c r="M17" s="77"/>
      <c r="N17" s="77"/>
    </row>
    <row r="18" spans="2:14" ht="18">
      <c r="B18" s="78" t="s">
        <v>95</v>
      </c>
      <c r="C18" s="78" t="s">
        <v>117</v>
      </c>
      <c r="D18" s="78"/>
      <c r="E18" s="77"/>
      <c r="F18" s="77"/>
      <c r="G18" s="77"/>
      <c r="H18" s="77"/>
      <c r="I18" s="77"/>
      <c r="J18" s="77"/>
      <c r="K18" s="77"/>
      <c r="L18" s="77"/>
      <c r="M18" s="77"/>
      <c r="N18" s="77">
        <v>2</v>
      </c>
    </row>
    <row r="19" spans="2:14" ht="18">
      <c r="B19" s="78"/>
      <c r="C19" s="78"/>
      <c r="D19" s="78"/>
      <c r="E19" s="77"/>
      <c r="F19" s="77"/>
      <c r="G19" s="77"/>
      <c r="H19" s="77"/>
      <c r="I19" s="77"/>
      <c r="J19" s="77"/>
      <c r="K19" s="77"/>
      <c r="L19" s="77"/>
      <c r="M19" s="77"/>
      <c r="N19" s="77"/>
    </row>
    <row r="20" spans="2:14" ht="18">
      <c r="B20" s="78" t="s">
        <v>96</v>
      </c>
      <c r="C20" s="78" t="s">
        <v>101</v>
      </c>
      <c r="E20" s="77"/>
      <c r="F20" s="77"/>
      <c r="G20" s="77"/>
      <c r="H20" s="77"/>
      <c r="I20" s="77"/>
      <c r="J20" s="77"/>
      <c r="K20" s="77"/>
      <c r="L20" s="77"/>
      <c r="M20" s="77"/>
      <c r="N20" s="77">
        <v>3</v>
      </c>
    </row>
    <row r="21" spans="2:14" ht="18">
      <c r="B21" s="78"/>
      <c r="C21" s="78"/>
      <c r="E21" s="77"/>
      <c r="F21" s="77"/>
      <c r="G21" s="77"/>
      <c r="H21" s="77"/>
      <c r="I21" s="77"/>
      <c r="J21" s="77"/>
      <c r="K21" s="77"/>
      <c r="L21" s="77"/>
      <c r="M21" s="77"/>
      <c r="N21" s="77"/>
    </row>
    <row r="22" spans="2:14" s="78" customFormat="1" ht="18">
      <c r="B22" s="78" t="s">
        <v>97</v>
      </c>
      <c r="C22" s="78" t="s">
        <v>103</v>
      </c>
      <c r="N22" s="77">
        <v>4</v>
      </c>
    </row>
    <row r="23" spans="2:14" ht="18">
      <c r="B23" s="77"/>
      <c r="C23" s="77"/>
      <c r="D23" s="77"/>
      <c r="E23" s="77"/>
      <c r="F23" s="77"/>
      <c r="G23" s="77"/>
      <c r="H23" s="77"/>
      <c r="I23" s="77"/>
      <c r="J23" s="77"/>
      <c r="K23" s="77"/>
      <c r="L23" s="77"/>
      <c r="M23" s="77"/>
      <c r="N23" s="77"/>
    </row>
    <row r="24" spans="2:14" ht="18">
      <c r="B24" s="78" t="s">
        <v>116</v>
      </c>
      <c r="C24" s="78" t="s">
        <v>104</v>
      </c>
      <c r="D24" s="78"/>
      <c r="E24" s="77"/>
      <c r="F24" s="77"/>
      <c r="G24" s="77"/>
      <c r="H24" s="77"/>
      <c r="I24" s="77"/>
      <c r="J24" s="77"/>
      <c r="K24" s="77"/>
      <c r="L24" s="77"/>
      <c r="M24" s="77"/>
      <c r="N24" s="77">
        <v>5</v>
      </c>
    </row>
    <row r="25" spans="2:14" ht="18">
      <c r="B25" s="77"/>
      <c r="C25" s="77"/>
      <c r="D25" s="77"/>
      <c r="E25" s="77"/>
      <c r="F25" s="77"/>
      <c r="G25" s="77"/>
      <c r="H25" s="77"/>
      <c r="I25" s="77"/>
      <c r="J25" s="77"/>
      <c r="K25" s="77"/>
      <c r="L25" s="77"/>
      <c r="M25" s="77"/>
      <c r="N25" s="77"/>
    </row>
    <row r="26" spans="2:14" ht="18">
      <c r="B26" s="78" t="s">
        <v>115</v>
      </c>
      <c r="C26" s="78" t="s">
        <v>17</v>
      </c>
      <c r="D26" s="77"/>
      <c r="E26" s="77"/>
      <c r="F26" s="77"/>
      <c r="G26" s="77"/>
      <c r="H26" s="77"/>
      <c r="I26" s="77"/>
      <c r="J26" s="77"/>
      <c r="K26" s="77"/>
      <c r="L26" s="77"/>
      <c r="M26" s="77"/>
      <c r="N26" s="77">
        <v>6</v>
      </c>
    </row>
    <row r="27" spans="2:14" ht="18">
      <c r="B27" s="77"/>
      <c r="C27" s="77"/>
      <c r="D27" s="77"/>
      <c r="E27" s="77"/>
      <c r="F27" s="77"/>
      <c r="G27" s="77"/>
      <c r="H27" s="77"/>
      <c r="I27" s="77"/>
      <c r="J27" s="77"/>
      <c r="K27" s="77"/>
      <c r="L27" s="77"/>
      <c r="M27" s="77"/>
      <c r="N27" s="77"/>
    </row>
    <row r="28" spans="2:14" ht="18">
      <c r="B28" s="78"/>
      <c r="C28" s="78"/>
      <c r="D28" s="77"/>
      <c r="E28" s="77"/>
      <c r="F28" s="77"/>
      <c r="G28" s="77"/>
      <c r="H28" s="77"/>
      <c r="I28" s="77"/>
      <c r="J28" s="77"/>
      <c r="K28" s="77"/>
      <c r="L28" s="77"/>
      <c r="M28" s="77"/>
      <c r="N28" s="77"/>
    </row>
    <row r="29" spans="2:14" ht="18">
      <c r="B29" s="77"/>
      <c r="C29" s="77"/>
      <c r="D29" s="77"/>
      <c r="E29" s="77"/>
      <c r="F29" s="77"/>
      <c r="G29" s="77"/>
      <c r="H29" s="77"/>
      <c r="I29" s="77"/>
      <c r="J29" s="77"/>
      <c r="K29" s="77"/>
      <c r="L29" s="77"/>
      <c r="M29" s="77"/>
      <c r="N29" s="77"/>
    </row>
    <row r="31" spans="2:14" ht="6.75" customHeight="1"/>
    <row r="32" spans="2:14">
      <c r="C32" s="63"/>
    </row>
    <row r="36" spans="3:12" ht="6.75" customHeight="1"/>
    <row r="37" spans="3:12">
      <c r="C37" s="63"/>
    </row>
    <row r="39" spans="3:12">
      <c r="L39" s="64"/>
    </row>
    <row r="41" spans="3:12">
      <c r="L41" s="65"/>
    </row>
  </sheetData>
  <phoneticPr fontId="0" type="noConversion"/>
  <printOptions horizontalCentered="1"/>
  <pageMargins left="0.5" right="0.75" top="0.33" bottom="0.42" header="0.31" footer="0.3"/>
  <pageSetup scale="71"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6"/>
  <sheetViews>
    <sheetView workbookViewId="0"/>
  </sheetViews>
  <sheetFormatPr baseColWidth="10" defaultColWidth="9.19921875" defaultRowHeight="13"/>
  <cols>
    <col min="1" max="1" width="2.59765625" style="38" customWidth="1"/>
    <col min="2" max="2" width="3.19921875" style="38" customWidth="1"/>
    <col min="3" max="11" width="9.19921875" style="38"/>
    <col min="12" max="12" width="61.19921875" style="38" customWidth="1"/>
    <col min="13" max="13" width="16.19921875" style="35" customWidth="1"/>
    <col min="14" max="14" width="4" style="35" customWidth="1"/>
    <col min="15" max="23" width="9.19921875" style="35"/>
    <col min="24" max="16384" width="9.19921875" style="38"/>
  </cols>
  <sheetData>
    <row r="1" spans="1:23" s="35" customFormat="1" ht="23.25" customHeight="1">
      <c r="B1" s="44"/>
      <c r="O1" s="36"/>
    </row>
    <row r="2" spans="1:23">
      <c r="A2" s="35"/>
    </row>
    <row r="3" spans="1:23">
      <c r="A3" s="35"/>
    </row>
    <row r="4" spans="1:23">
      <c r="A4" s="35"/>
    </row>
    <row r="5" spans="1:23">
      <c r="A5" s="35"/>
    </row>
    <row r="6" spans="1:23">
      <c r="A6" s="35"/>
    </row>
    <row r="7" spans="1:23">
      <c r="A7" s="35"/>
    </row>
    <row r="8" spans="1:23">
      <c r="A8" s="35"/>
    </row>
    <row r="9" spans="1:23">
      <c r="A9" s="35"/>
    </row>
    <row r="10" spans="1:23">
      <c r="A10" s="35"/>
    </row>
    <row r="11" spans="1:23">
      <c r="A11" s="35"/>
    </row>
    <row r="12" spans="1:23">
      <c r="A12" s="35"/>
    </row>
    <row r="13" spans="1:23">
      <c r="A13" s="35"/>
    </row>
    <row r="14" spans="1:23">
      <c r="A14" s="35"/>
    </row>
    <row r="15" spans="1:23" ht="33">
      <c r="A15" s="35"/>
      <c r="M15" s="38"/>
      <c r="N15" s="38"/>
      <c r="P15" s="37"/>
      <c r="Q15" s="38"/>
      <c r="R15" s="38"/>
      <c r="S15" s="38"/>
      <c r="T15" s="38"/>
      <c r="U15" s="38"/>
      <c r="V15" s="38"/>
      <c r="W15" s="38"/>
    </row>
    <row r="16" spans="1:23">
      <c r="A16" s="35"/>
    </row>
    <row r="17" spans="1:1">
      <c r="A17" s="35"/>
    </row>
    <row r="18" spans="1:1">
      <c r="A18" s="35"/>
    </row>
    <row r="19" spans="1:1">
      <c r="A19" s="35"/>
    </row>
    <row r="20" spans="1:1">
      <c r="A20" s="35"/>
    </row>
    <row r="21" spans="1:1">
      <c r="A21" s="35"/>
    </row>
    <row r="22" spans="1:1">
      <c r="A22" s="35"/>
    </row>
    <row r="23" spans="1:1">
      <c r="A23" s="35"/>
    </row>
    <row r="24" spans="1:1">
      <c r="A24" s="35"/>
    </row>
    <row r="25" spans="1:1">
      <c r="A25" s="35"/>
    </row>
    <row r="26" spans="1:1">
      <c r="A26" s="35"/>
    </row>
    <row r="27" spans="1:1">
      <c r="A27" s="35"/>
    </row>
    <row r="28" spans="1:1">
      <c r="A28" s="35"/>
    </row>
    <row r="29" spans="1:1">
      <c r="A29" s="35"/>
    </row>
    <row r="30" spans="1:1">
      <c r="A30" s="35"/>
    </row>
    <row r="31" spans="1:1">
      <c r="A31" s="35"/>
    </row>
    <row r="32" spans="1:1">
      <c r="A32" s="35"/>
    </row>
    <row r="33" spans="1:1">
      <c r="A33" s="35"/>
    </row>
    <row r="34" spans="1:1">
      <c r="A34" s="35"/>
    </row>
    <row r="35" spans="1:1">
      <c r="A35" s="35"/>
    </row>
    <row r="36" spans="1:1">
      <c r="A36" s="35"/>
    </row>
    <row r="37" spans="1:1">
      <c r="A37" s="35"/>
    </row>
    <row r="38" spans="1:1">
      <c r="A38" s="35"/>
    </row>
    <row r="39" spans="1:1">
      <c r="A39" s="35"/>
    </row>
    <row r="40" spans="1:1">
      <c r="A40" s="35"/>
    </row>
    <row r="41" spans="1:1">
      <c r="A41" s="35"/>
    </row>
    <row r="42" spans="1:1">
      <c r="A42" s="35"/>
    </row>
    <row r="43" spans="1:1">
      <c r="A43" s="35"/>
    </row>
    <row r="44" spans="1:1">
      <c r="A44" s="35"/>
    </row>
    <row r="45" spans="1:1">
      <c r="A45" s="35"/>
    </row>
    <row r="46" spans="1:1">
      <c r="A46" s="35"/>
    </row>
    <row r="47" spans="1:1">
      <c r="A47" s="35"/>
    </row>
    <row r="48" spans="1:1">
      <c r="A48" s="35"/>
    </row>
    <row r="49" spans="1:1">
      <c r="A49" s="35"/>
    </row>
    <row r="50" spans="1:1">
      <c r="A50" s="35"/>
    </row>
    <row r="51" spans="1:1">
      <c r="A51" s="35"/>
    </row>
    <row r="52" spans="1:1">
      <c r="A52" s="35"/>
    </row>
    <row r="53" spans="1:1">
      <c r="A53" s="35"/>
    </row>
    <row r="54" spans="1:1">
      <c r="A54" s="35"/>
    </row>
    <row r="55" spans="1:1">
      <c r="A55" s="35"/>
    </row>
    <row r="56" spans="1:1">
      <c r="A56" s="35"/>
    </row>
    <row r="57" spans="1:1">
      <c r="A57" s="35"/>
    </row>
    <row r="58" spans="1:1">
      <c r="A58" s="35"/>
    </row>
    <row r="59" spans="1:1">
      <c r="A59" s="35"/>
    </row>
    <row r="60" spans="1:1">
      <c r="A60" s="35"/>
    </row>
    <row r="61" spans="1:1">
      <c r="A61" s="35"/>
    </row>
    <row r="62" spans="1:1">
      <c r="A62" s="35"/>
    </row>
    <row r="63" spans="1:1" s="35" customFormat="1"/>
    <row r="64" spans="1:1">
      <c r="A64" s="35"/>
    </row>
    <row r="65" spans="1:1">
      <c r="A65" s="35"/>
    </row>
    <row r="66" spans="1:1" s="35" customFormat="1"/>
  </sheetData>
  <printOptions horizontalCentered="1"/>
  <pageMargins left="0.5" right="0.75" top="0.33" bottom="0.42" header="0.31" footer="0.3"/>
  <pageSetup scale="63"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9" defaultRowHeight="13"/>
  <sheetData/>
  <pageMargins left="0.7" right="0.7" top="0.75" bottom="0.75" header="0.3" footer="0.3"/>
  <customProperties>
    <customPr name="LinkingMetadata"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V55"/>
  <sheetViews>
    <sheetView zoomScaleNormal="100" workbookViewId="0">
      <pane xSplit="1" ySplit="8" topLeftCell="AF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71" style="66" customWidth="1"/>
    <col min="2" max="2" width="1.59765625" style="72" customWidth="1"/>
    <col min="3" max="6" width="11.59765625" style="67" hidden="1" customWidth="1" outlineLevel="1"/>
    <col min="7" max="7" width="1.59765625" style="67" customWidth="1" collapsed="1"/>
    <col min="8" max="11" width="11.59765625" style="67" hidden="1" customWidth="1" outlineLevel="1"/>
    <col min="12" max="12" width="1.59765625" style="67" customWidth="1" collapsed="1"/>
    <col min="13" max="16" width="11.59765625" style="67" hidden="1" customWidth="1" outlineLevel="1"/>
    <col min="17" max="17" width="1.59765625" style="67" customWidth="1" collapsed="1"/>
    <col min="18" max="21" width="11.796875" style="67" hidden="1" customWidth="1" outlineLevel="1"/>
    <col min="22" max="22" width="2.19921875" style="67" hidden="1" customWidth="1" outlineLevel="1"/>
    <col min="23" max="23" width="11.796875" style="67" hidden="1" customWidth="1" outlineLevel="1" collapsed="1"/>
    <col min="24" max="26" width="11.796875" style="67" hidden="1" customWidth="1" outlineLevel="1"/>
    <col min="27" max="27" width="2.19921875" style="67" hidden="1" customWidth="1" outlineLevel="1"/>
    <col min="28" max="28" width="11.796875" style="67" hidden="1" customWidth="1" outlineLevel="1" collapsed="1"/>
    <col min="29" max="31" width="11.796875" style="67" hidden="1" customWidth="1" outlineLevel="1"/>
    <col min="32" max="32" width="2.19921875" style="67" customWidth="1" collapsed="1"/>
    <col min="33" max="36" width="11.796875" style="67" customWidth="1"/>
    <col min="37" max="37" width="2.19921875" style="72" customWidth="1"/>
    <col min="38" max="39" width="11.796875" style="67" customWidth="1"/>
    <col min="40" max="40" width="2.19921875" style="72" customWidth="1"/>
    <col min="41" max="43" width="11.59765625" style="72" hidden="1" customWidth="1" outlineLevel="1"/>
    <col min="44" max="45" width="11.796875" style="72" hidden="1" customWidth="1" outlineLevel="1"/>
    <col min="46" max="46" width="11.796875" style="72" hidden="1" customWidth="1" outlineLevel="1" collapsed="1"/>
    <col min="47" max="47" width="11.796875" style="72" customWidth="1" collapsed="1"/>
    <col min="48" max="48" width="11.796875" style="72" customWidth="1"/>
    <col min="49" max="16384" width="9" style="72"/>
  </cols>
  <sheetData>
    <row r="2" spans="1:48" ht="18">
      <c r="B2" s="225" t="s">
        <v>98</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175"/>
      <c r="AP2" s="175"/>
      <c r="AQ2" s="175"/>
      <c r="AR2" s="175"/>
      <c r="AS2" s="175"/>
    </row>
    <row r="3" spans="1:48" ht="18" customHeight="1">
      <c r="B3" s="70"/>
      <c r="C3" s="226" t="s">
        <v>99</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04"/>
      <c r="AO3" s="175"/>
      <c r="AP3" s="175"/>
      <c r="AQ3" s="175"/>
      <c r="AR3" s="175"/>
      <c r="AS3" s="175"/>
    </row>
    <row r="4" spans="1:48" ht="12.75" customHeight="1">
      <c r="A4" s="72"/>
      <c r="B4" s="66"/>
      <c r="C4" s="227" t="s">
        <v>109</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76"/>
      <c r="AO4" s="76"/>
      <c r="AP4" s="76"/>
      <c r="AQ4" s="76"/>
      <c r="AR4" s="157"/>
      <c r="AS4" s="171"/>
    </row>
    <row r="5" spans="1:48">
      <c r="A5" s="71"/>
      <c r="B5" s="71"/>
      <c r="C5" s="71"/>
      <c r="D5" s="71"/>
      <c r="E5" s="71"/>
      <c r="F5" s="71"/>
      <c r="G5" s="71"/>
      <c r="H5" s="71"/>
      <c r="I5" s="71"/>
      <c r="J5" s="71"/>
      <c r="K5" s="71"/>
      <c r="L5" s="103"/>
      <c r="M5" s="119"/>
      <c r="N5" s="123"/>
      <c r="O5" s="103"/>
      <c r="P5" s="144"/>
      <c r="Q5" s="161"/>
      <c r="R5" s="161"/>
      <c r="S5" s="170"/>
      <c r="T5" s="163"/>
      <c r="U5" s="172"/>
      <c r="V5" s="176"/>
      <c r="W5" s="176"/>
      <c r="X5" s="180"/>
      <c r="Y5" s="183"/>
      <c r="Z5" s="182"/>
      <c r="AA5" s="186"/>
      <c r="AB5" s="188"/>
      <c r="AC5" s="190"/>
      <c r="AD5" s="190"/>
      <c r="AE5" s="191"/>
      <c r="AF5" s="193"/>
      <c r="AG5" s="193"/>
      <c r="AH5" s="195"/>
      <c r="AI5" s="198"/>
      <c r="AJ5" s="200"/>
      <c r="AL5" s="206"/>
      <c r="AM5" s="207"/>
    </row>
    <row r="6" spans="1:48">
      <c r="A6" s="71"/>
      <c r="B6" s="71"/>
      <c r="C6" s="221" t="s">
        <v>106</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3"/>
      <c r="AO6" s="221" t="s">
        <v>107</v>
      </c>
      <c r="AP6" s="222"/>
      <c r="AQ6" s="222"/>
      <c r="AR6" s="222"/>
      <c r="AS6" s="222"/>
      <c r="AT6" s="222"/>
      <c r="AU6" s="222"/>
      <c r="AV6" s="223"/>
    </row>
    <row r="7" spans="1:48" ht="13" customHeight="1">
      <c r="A7" s="71"/>
      <c r="B7" s="71"/>
      <c r="C7" s="224" t="s">
        <v>113</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90"/>
      <c r="AO7" s="220" t="s">
        <v>114</v>
      </c>
      <c r="AP7" s="220"/>
      <c r="AQ7" s="220"/>
      <c r="AR7" s="220"/>
      <c r="AS7" s="220"/>
      <c r="AT7" s="220"/>
      <c r="AU7" s="220"/>
      <c r="AV7" s="220"/>
    </row>
    <row r="8" spans="1:48">
      <c r="C8" s="91" t="s">
        <v>20</v>
      </c>
      <c r="D8" s="91" t="s">
        <v>21</v>
      </c>
      <c r="E8" s="91" t="s">
        <v>22</v>
      </c>
      <c r="F8" s="91" t="s">
        <v>23</v>
      </c>
      <c r="G8" s="91"/>
      <c r="H8" s="91" t="s">
        <v>25</v>
      </c>
      <c r="I8" s="91" t="s">
        <v>26</v>
      </c>
      <c r="J8" s="91" t="s">
        <v>50</v>
      </c>
      <c r="K8" s="91" t="s">
        <v>105</v>
      </c>
      <c r="L8" s="91"/>
      <c r="M8" s="91" t="s">
        <v>134</v>
      </c>
      <c r="N8" s="91" t="s">
        <v>138</v>
      </c>
      <c r="O8" s="91" t="s">
        <v>140</v>
      </c>
      <c r="P8" s="91" t="s">
        <v>148</v>
      </c>
      <c r="Q8" s="114"/>
      <c r="R8" s="91" t="s">
        <v>156</v>
      </c>
      <c r="S8" s="91" t="s">
        <v>158</v>
      </c>
      <c r="T8" s="91" t="s">
        <v>176</v>
      </c>
      <c r="U8" s="91" t="s">
        <v>179</v>
      </c>
      <c r="V8" s="114"/>
      <c r="W8" s="91" t="s">
        <v>183</v>
      </c>
      <c r="X8" s="91" t="s">
        <v>192</v>
      </c>
      <c r="Y8" s="91" t="s">
        <v>193</v>
      </c>
      <c r="Z8" s="91" t="s">
        <v>195</v>
      </c>
      <c r="AA8" s="114"/>
      <c r="AB8" s="91" t="s">
        <v>201</v>
      </c>
      <c r="AC8" s="91" t="s">
        <v>204</v>
      </c>
      <c r="AD8" s="91" t="s">
        <v>206</v>
      </c>
      <c r="AE8" s="91" t="s">
        <v>209</v>
      </c>
      <c r="AF8" s="114"/>
      <c r="AG8" s="91" t="s">
        <v>217</v>
      </c>
      <c r="AH8" s="91" t="s">
        <v>219</v>
      </c>
      <c r="AI8" s="91" t="s">
        <v>222</v>
      </c>
      <c r="AJ8" s="91" t="s">
        <v>225</v>
      </c>
      <c r="AL8" s="91" t="s">
        <v>227</v>
      </c>
      <c r="AM8" s="114" t="s">
        <v>230</v>
      </c>
      <c r="AO8" s="91" t="s">
        <v>19</v>
      </c>
      <c r="AP8" s="91" t="s">
        <v>24</v>
      </c>
      <c r="AQ8" s="91" t="s">
        <v>108</v>
      </c>
      <c r="AR8" s="91" t="s">
        <v>149</v>
      </c>
      <c r="AS8" s="91" t="s">
        <v>180</v>
      </c>
      <c r="AT8" s="91" t="s">
        <v>196</v>
      </c>
      <c r="AU8" s="91" t="s">
        <v>208</v>
      </c>
      <c r="AV8" s="91" t="s">
        <v>224</v>
      </c>
    </row>
    <row r="9" spans="1:48" ht="14">
      <c r="A9" s="66" t="s">
        <v>27</v>
      </c>
    </row>
    <row r="10" spans="1:48" ht="14">
      <c r="A10" s="112" t="s">
        <v>1</v>
      </c>
      <c r="R10" s="93"/>
      <c r="S10" s="93"/>
      <c r="T10" s="93"/>
      <c r="U10" s="93"/>
      <c r="V10" s="93"/>
      <c r="W10" s="93"/>
      <c r="X10" s="93"/>
      <c r="Y10" s="93"/>
      <c r="Z10" s="93"/>
      <c r="AA10" s="93"/>
      <c r="AB10" s="93"/>
      <c r="AC10" s="93"/>
      <c r="AD10" s="93"/>
      <c r="AE10" s="93"/>
      <c r="AF10" s="93"/>
      <c r="AG10" s="93"/>
      <c r="AH10" s="93"/>
      <c r="AI10" s="93"/>
      <c r="AJ10" s="93"/>
      <c r="AL10" s="93"/>
      <c r="AM10" s="93"/>
    </row>
    <row r="11" spans="1:48" ht="14">
      <c r="A11" s="97" t="s">
        <v>28</v>
      </c>
      <c r="C11" s="93">
        <v>133.5</v>
      </c>
      <c r="D11" s="93">
        <v>164.6</v>
      </c>
      <c r="E11" s="93">
        <v>145</v>
      </c>
      <c r="F11" s="93">
        <v>139</v>
      </c>
      <c r="G11" s="94"/>
      <c r="H11" s="93">
        <v>196.8</v>
      </c>
      <c r="I11" s="93">
        <v>289.39999999999998</v>
      </c>
      <c r="J11" s="93">
        <v>327.7</v>
      </c>
      <c r="K11" s="93">
        <v>348</v>
      </c>
      <c r="L11" s="94"/>
      <c r="M11" s="93">
        <v>431.7</v>
      </c>
      <c r="N11" s="93">
        <v>472.1</v>
      </c>
      <c r="O11" s="93">
        <v>556.20000000000005</v>
      </c>
      <c r="P11" s="93">
        <v>566.1</v>
      </c>
      <c r="Q11" s="93"/>
      <c r="R11" s="93">
        <v>658.2</v>
      </c>
      <c r="S11" s="93">
        <v>578.79999999999995</v>
      </c>
      <c r="T11" s="93">
        <v>536.9</v>
      </c>
      <c r="U11" s="93">
        <v>582.70000000000005</v>
      </c>
      <c r="V11" s="93"/>
      <c r="W11" s="93">
        <v>710.7</v>
      </c>
      <c r="X11" s="93">
        <v>809.7</v>
      </c>
      <c r="Y11" s="93">
        <v>851.2</v>
      </c>
      <c r="Z11" s="93">
        <v>932.4</v>
      </c>
      <c r="AA11" s="93"/>
      <c r="AB11" s="93">
        <v>1090.3</v>
      </c>
      <c r="AC11" s="93">
        <v>1198.8</v>
      </c>
      <c r="AD11" s="93">
        <v>966.7</v>
      </c>
      <c r="AE11" s="93">
        <v>1062.8</v>
      </c>
      <c r="AF11" s="93"/>
      <c r="AG11" s="93">
        <v>851.4</v>
      </c>
      <c r="AH11" s="93">
        <v>772.7</v>
      </c>
      <c r="AI11" s="93">
        <v>621.79999999999995</v>
      </c>
      <c r="AJ11" s="93">
        <v>765.2</v>
      </c>
      <c r="AK11" s="98"/>
      <c r="AL11" s="93">
        <v>1293.0999999999999</v>
      </c>
      <c r="AM11" s="93">
        <v>1375.2</v>
      </c>
      <c r="AN11" s="98"/>
      <c r="AO11" s="93">
        <v>95.4</v>
      </c>
      <c r="AP11" s="93">
        <f t="shared" ref="AP11:AP19" si="0">F11</f>
        <v>139</v>
      </c>
      <c r="AQ11" s="93">
        <f t="shared" ref="AQ11:AQ19" si="1">K11</f>
        <v>348</v>
      </c>
      <c r="AR11" s="93">
        <f t="shared" ref="AR11:AR19" si="2">P11</f>
        <v>566.1</v>
      </c>
      <c r="AS11" s="93">
        <f t="shared" ref="AS11:AS19" si="3">U11</f>
        <v>582.70000000000005</v>
      </c>
      <c r="AT11" s="93">
        <f t="shared" ref="AT11:AT19" si="4">Z11</f>
        <v>932.4</v>
      </c>
      <c r="AU11" s="93">
        <f>AE11</f>
        <v>1062.8</v>
      </c>
      <c r="AV11" s="93">
        <f t="shared" ref="AV11:AV16" si="5">AJ11</f>
        <v>765.2</v>
      </c>
    </row>
    <row r="12" spans="1:48" ht="14">
      <c r="A12" s="97" t="s">
        <v>29</v>
      </c>
      <c r="C12" s="67">
        <v>0</v>
      </c>
      <c r="D12" s="67">
        <v>3</v>
      </c>
      <c r="E12" s="67">
        <v>3</v>
      </c>
      <c r="F12" s="67">
        <v>3</v>
      </c>
      <c r="G12" s="83"/>
      <c r="H12" s="67">
        <v>1.1000000000000001</v>
      </c>
      <c r="I12" s="67">
        <v>5.4</v>
      </c>
      <c r="J12" s="67">
        <v>5.4</v>
      </c>
      <c r="K12" s="67">
        <v>4.5</v>
      </c>
      <c r="L12" s="83"/>
      <c r="M12" s="67">
        <v>8.4</v>
      </c>
      <c r="N12" s="67">
        <v>9.6</v>
      </c>
      <c r="O12" s="67">
        <v>9.6</v>
      </c>
      <c r="P12" s="67">
        <v>6.6</v>
      </c>
      <c r="R12" s="67">
        <v>12.4</v>
      </c>
      <c r="S12" s="67">
        <v>12.4</v>
      </c>
      <c r="T12" s="67">
        <v>16.399999999999999</v>
      </c>
      <c r="U12" s="67">
        <v>12.3</v>
      </c>
      <c r="W12" s="67">
        <v>18.8</v>
      </c>
      <c r="X12" s="67">
        <v>18.8</v>
      </c>
      <c r="Y12" s="67">
        <v>1</v>
      </c>
      <c r="Z12" s="67">
        <v>18.899999999999999</v>
      </c>
      <c r="AB12" s="67">
        <v>18.7</v>
      </c>
      <c r="AC12" s="67">
        <v>23.6</v>
      </c>
      <c r="AD12" s="67">
        <v>23.5</v>
      </c>
      <c r="AE12" s="67">
        <v>23.6</v>
      </c>
      <c r="AG12" s="67">
        <v>0</v>
      </c>
      <c r="AH12" s="67">
        <v>0</v>
      </c>
      <c r="AI12" s="67">
        <v>0</v>
      </c>
      <c r="AJ12" s="67">
        <v>0</v>
      </c>
      <c r="AL12" s="67">
        <v>0</v>
      </c>
      <c r="AM12" s="67">
        <v>0</v>
      </c>
      <c r="AO12" s="67">
        <v>3.2</v>
      </c>
      <c r="AP12" s="67">
        <f t="shared" si="0"/>
        <v>3</v>
      </c>
      <c r="AQ12" s="67">
        <f t="shared" si="1"/>
        <v>4.5</v>
      </c>
      <c r="AR12" s="67">
        <f t="shared" si="2"/>
        <v>6.6</v>
      </c>
      <c r="AS12" s="67">
        <f t="shared" si="3"/>
        <v>12.3</v>
      </c>
      <c r="AT12" s="67">
        <f t="shared" si="4"/>
        <v>18.899999999999999</v>
      </c>
      <c r="AU12" s="67">
        <f>AE12</f>
        <v>23.6</v>
      </c>
      <c r="AV12" s="67">
        <f t="shared" si="5"/>
        <v>0</v>
      </c>
    </row>
    <row r="13" spans="1:48" ht="14">
      <c r="A13" s="97" t="s">
        <v>30</v>
      </c>
      <c r="C13" s="67">
        <v>5.0999999999999996</v>
      </c>
      <c r="D13" s="67">
        <v>3.5</v>
      </c>
      <c r="E13" s="67">
        <v>5.2</v>
      </c>
      <c r="F13" s="67">
        <v>3.5</v>
      </c>
      <c r="G13" s="83"/>
      <c r="H13" s="67">
        <v>5</v>
      </c>
      <c r="I13" s="67">
        <v>5.3</v>
      </c>
      <c r="J13" s="67">
        <v>6.2</v>
      </c>
      <c r="K13" s="67">
        <v>4.8</v>
      </c>
      <c r="L13" s="83"/>
      <c r="M13" s="67">
        <v>6.1</v>
      </c>
      <c r="N13" s="67">
        <v>7.4</v>
      </c>
      <c r="O13" s="67">
        <v>10.8</v>
      </c>
      <c r="P13" s="67">
        <v>8</v>
      </c>
      <c r="R13" s="67">
        <v>8.4</v>
      </c>
      <c r="S13" s="67">
        <v>17.399999999999999</v>
      </c>
      <c r="T13" s="67">
        <v>17.3</v>
      </c>
      <c r="U13" s="67">
        <v>18.399999999999999</v>
      </c>
      <c r="W13" s="67">
        <v>24</v>
      </c>
      <c r="X13" s="67">
        <v>23.6</v>
      </c>
      <c r="Y13" s="67">
        <v>22.5</v>
      </c>
      <c r="Z13" s="67">
        <v>26.4</v>
      </c>
      <c r="AB13" s="67">
        <v>35.4</v>
      </c>
      <c r="AC13" s="67">
        <v>24.8</v>
      </c>
      <c r="AD13" s="67">
        <v>29</v>
      </c>
      <c r="AE13" s="67">
        <v>30.2</v>
      </c>
      <c r="AG13" s="67">
        <v>31.6</v>
      </c>
      <c r="AH13" s="67">
        <v>33.4</v>
      </c>
      <c r="AI13" s="67">
        <v>38.700000000000003</v>
      </c>
      <c r="AJ13" s="67">
        <v>41.8</v>
      </c>
      <c r="AL13" s="67">
        <v>48.3</v>
      </c>
      <c r="AM13" s="67">
        <v>54.6</v>
      </c>
      <c r="AO13" s="67">
        <v>5.3</v>
      </c>
      <c r="AP13" s="67">
        <f t="shared" si="0"/>
        <v>3.5</v>
      </c>
      <c r="AQ13" s="67">
        <f t="shared" si="1"/>
        <v>4.8</v>
      </c>
      <c r="AR13" s="67">
        <f t="shared" si="2"/>
        <v>8</v>
      </c>
      <c r="AS13" s="67">
        <f t="shared" si="3"/>
        <v>18.399999999999999</v>
      </c>
      <c r="AT13" s="67">
        <f t="shared" si="4"/>
        <v>26.4</v>
      </c>
      <c r="AU13" s="67">
        <f t="shared" ref="AU13:AU54" si="6">AE13</f>
        <v>30.2</v>
      </c>
      <c r="AV13" s="67">
        <f t="shared" si="5"/>
        <v>41.8</v>
      </c>
    </row>
    <row r="14" spans="1:48" ht="14">
      <c r="A14" s="97" t="s">
        <v>31</v>
      </c>
      <c r="C14" s="67">
        <v>18.600000000000001</v>
      </c>
      <c r="D14" s="67">
        <v>17.8</v>
      </c>
      <c r="E14" s="67">
        <v>16.8</v>
      </c>
      <c r="F14" s="67">
        <v>17.8</v>
      </c>
      <c r="G14" s="83"/>
      <c r="H14" s="67">
        <v>18.7</v>
      </c>
      <c r="I14" s="67">
        <v>20.2</v>
      </c>
      <c r="J14" s="67">
        <v>21.2</v>
      </c>
      <c r="K14" s="67">
        <v>18.7</v>
      </c>
      <c r="L14" s="83"/>
      <c r="M14" s="67">
        <v>25.4</v>
      </c>
      <c r="N14" s="67">
        <v>21</v>
      </c>
      <c r="O14" s="67">
        <v>21.6</v>
      </c>
      <c r="P14" s="67">
        <v>20.6</v>
      </c>
      <c r="R14" s="67">
        <v>18.7</v>
      </c>
      <c r="S14" s="67">
        <v>21.8</v>
      </c>
      <c r="T14" s="67">
        <v>25.6</v>
      </c>
      <c r="U14" s="67">
        <v>34.700000000000003</v>
      </c>
      <c r="W14" s="67">
        <v>41.2</v>
      </c>
      <c r="X14" s="67">
        <v>46.1</v>
      </c>
      <c r="Y14" s="67">
        <v>25</v>
      </c>
      <c r="Z14" s="67">
        <v>28.3</v>
      </c>
      <c r="AB14" s="67">
        <v>27.9</v>
      </c>
      <c r="AC14" s="67">
        <v>24.2</v>
      </c>
      <c r="AD14" s="67">
        <v>22.5</v>
      </c>
      <c r="AE14" s="67">
        <v>27.2</v>
      </c>
      <c r="AG14" s="67">
        <v>21.7</v>
      </c>
      <c r="AH14" s="67">
        <v>27.7</v>
      </c>
      <c r="AI14" s="67">
        <v>24.6</v>
      </c>
      <c r="AJ14" s="67">
        <v>31.1</v>
      </c>
      <c r="AL14" s="67">
        <v>28.9</v>
      </c>
      <c r="AM14" s="67">
        <v>31</v>
      </c>
      <c r="AO14" s="67">
        <v>15.1</v>
      </c>
      <c r="AP14" s="67">
        <f t="shared" si="0"/>
        <v>17.8</v>
      </c>
      <c r="AQ14" s="67">
        <f t="shared" si="1"/>
        <v>18.7</v>
      </c>
      <c r="AR14" s="67">
        <f t="shared" si="2"/>
        <v>20.6</v>
      </c>
      <c r="AS14" s="67">
        <f t="shared" si="3"/>
        <v>34.700000000000003</v>
      </c>
      <c r="AT14" s="67">
        <f t="shared" si="4"/>
        <v>28.3</v>
      </c>
      <c r="AU14" s="67">
        <f t="shared" si="6"/>
        <v>27.2</v>
      </c>
      <c r="AV14" s="67">
        <f t="shared" si="5"/>
        <v>31.1</v>
      </c>
    </row>
    <row r="15" spans="1:48" ht="14">
      <c r="A15" s="97" t="s">
        <v>32</v>
      </c>
      <c r="C15" s="67">
        <v>270.2</v>
      </c>
      <c r="D15" s="67">
        <v>276.10000000000002</v>
      </c>
      <c r="E15" s="67">
        <v>276.8</v>
      </c>
      <c r="F15" s="67">
        <v>272.8</v>
      </c>
      <c r="G15" s="83"/>
      <c r="H15" s="67">
        <v>288.2</v>
      </c>
      <c r="I15" s="67">
        <v>294</v>
      </c>
      <c r="J15" s="67">
        <v>295.2</v>
      </c>
      <c r="K15" s="67">
        <v>292.60000000000002</v>
      </c>
      <c r="L15" s="83"/>
      <c r="M15" s="67">
        <v>306.2</v>
      </c>
      <c r="N15" s="67">
        <v>310.60000000000002</v>
      </c>
      <c r="O15" s="67">
        <v>311.10000000000002</v>
      </c>
      <c r="P15" s="67">
        <v>307</v>
      </c>
      <c r="R15" s="67">
        <v>323.3</v>
      </c>
      <c r="S15" s="67">
        <v>357</v>
      </c>
      <c r="T15" s="67">
        <v>357.6</v>
      </c>
      <c r="U15" s="67">
        <v>351.5</v>
      </c>
      <c r="W15" s="67">
        <v>365.9</v>
      </c>
      <c r="X15" s="67">
        <v>373.5</v>
      </c>
      <c r="Y15" s="67">
        <v>370.2</v>
      </c>
      <c r="Z15" s="67">
        <v>363.2</v>
      </c>
      <c r="AB15" s="67">
        <v>378</v>
      </c>
      <c r="AC15" s="67">
        <v>385.7</v>
      </c>
      <c r="AD15" s="67">
        <v>382.7</v>
      </c>
      <c r="AE15" s="67">
        <v>382.6</v>
      </c>
      <c r="AG15" s="67">
        <v>391.3</v>
      </c>
      <c r="AH15" s="67">
        <v>401.7</v>
      </c>
      <c r="AI15" s="67">
        <v>388.2</v>
      </c>
      <c r="AJ15" s="67">
        <v>392.4</v>
      </c>
      <c r="AL15" s="67">
        <v>413.8</v>
      </c>
      <c r="AM15" s="67">
        <v>426.5</v>
      </c>
      <c r="AO15" s="67">
        <v>255.1</v>
      </c>
      <c r="AP15" s="67">
        <f t="shared" si="0"/>
        <v>272.8</v>
      </c>
      <c r="AQ15" s="67">
        <f t="shared" si="1"/>
        <v>292.60000000000002</v>
      </c>
      <c r="AR15" s="67">
        <f t="shared" si="2"/>
        <v>307</v>
      </c>
      <c r="AS15" s="67">
        <f t="shared" si="3"/>
        <v>351.5</v>
      </c>
      <c r="AT15" s="67">
        <f t="shared" si="4"/>
        <v>363.2</v>
      </c>
      <c r="AU15" s="67">
        <f t="shared" si="6"/>
        <v>382.6</v>
      </c>
      <c r="AV15" s="67">
        <f t="shared" si="5"/>
        <v>392.4</v>
      </c>
    </row>
    <row r="16" spans="1:48" ht="14">
      <c r="A16" s="97" t="s">
        <v>3</v>
      </c>
      <c r="C16" s="67">
        <v>28.2</v>
      </c>
      <c r="D16" s="67">
        <v>27.4</v>
      </c>
      <c r="E16" s="67">
        <v>19.7</v>
      </c>
      <c r="F16" s="67">
        <v>23.3</v>
      </c>
      <c r="G16" s="83"/>
      <c r="H16" s="67">
        <v>21.4</v>
      </c>
      <c r="I16" s="67">
        <v>27.2</v>
      </c>
      <c r="J16" s="67">
        <v>25.3</v>
      </c>
      <c r="K16" s="67">
        <v>25.3</v>
      </c>
      <c r="L16" s="83"/>
      <c r="M16" s="67">
        <v>34</v>
      </c>
      <c r="N16" s="67">
        <v>40</v>
      </c>
      <c r="O16" s="67">
        <v>31.3</v>
      </c>
      <c r="P16" s="67">
        <v>24.5</v>
      </c>
      <c r="R16" s="67">
        <v>25.2</v>
      </c>
      <c r="S16" s="67">
        <v>55.5</v>
      </c>
      <c r="T16" s="67">
        <v>49.8</v>
      </c>
      <c r="U16" s="67">
        <v>59.9</v>
      </c>
      <c r="W16" s="67">
        <v>60.7</v>
      </c>
      <c r="X16" s="67">
        <v>79.099999999999994</v>
      </c>
      <c r="Y16" s="67">
        <v>75.3</v>
      </c>
      <c r="Z16" s="67">
        <v>58.1</v>
      </c>
      <c r="AB16" s="67">
        <v>61.5</v>
      </c>
      <c r="AC16" s="67">
        <v>63.3</v>
      </c>
      <c r="AD16" s="67">
        <v>60.2</v>
      </c>
      <c r="AE16" s="67">
        <v>48.9</v>
      </c>
      <c r="AG16" s="67">
        <v>69.599999999999994</v>
      </c>
      <c r="AH16" s="67">
        <v>69</v>
      </c>
      <c r="AI16" s="67">
        <v>62.6</v>
      </c>
      <c r="AJ16" s="67">
        <v>60.8</v>
      </c>
      <c r="AL16" s="67">
        <v>107.6</v>
      </c>
      <c r="AM16" s="189">
        <v>103.5</v>
      </c>
      <c r="AO16" s="67">
        <v>30</v>
      </c>
      <c r="AP16" s="67">
        <f t="shared" si="0"/>
        <v>23.3</v>
      </c>
      <c r="AQ16" s="67">
        <f t="shared" si="1"/>
        <v>25.3</v>
      </c>
      <c r="AR16" s="67">
        <f t="shared" si="2"/>
        <v>24.5</v>
      </c>
      <c r="AS16" s="67">
        <f t="shared" si="3"/>
        <v>59.9</v>
      </c>
      <c r="AT16" s="67">
        <f t="shared" si="4"/>
        <v>58.1</v>
      </c>
      <c r="AU16" s="67">
        <f t="shared" si="6"/>
        <v>48.9</v>
      </c>
      <c r="AV16" s="67">
        <f t="shared" si="5"/>
        <v>60.8</v>
      </c>
    </row>
    <row r="17" spans="1:48" ht="14" hidden="1" outlineLevel="1">
      <c r="A17" s="97" t="s">
        <v>159</v>
      </c>
      <c r="C17" s="67">
        <v>0</v>
      </c>
      <c r="D17" s="67">
        <v>0</v>
      </c>
      <c r="E17" s="67">
        <v>0</v>
      </c>
      <c r="F17" s="67">
        <v>0</v>
      </c>
      <c r="G17" s="83"/>
      <c r="H17" s="67">
        <v>0</v>
      </c>
      <c r="I17" s="67">
        <v>0</v>
      </c>
      <c r="J17" s="67">
        <v>0</v>
      </c>
      <c r="K17" s="67">
        <v>0</v>
      </c>
      <c r="L17" s="83"/>
      <c r="M17" s="67">
        <v>0</v>
      </c>
      <c r="N17" s="67">
        <v>0</v>
      </c>
      <c r="O17" s="67">
        <v>0</v>
      </c>
      <c r="P17" s="67">
        <v>0</v>
      </c>
      <c r="R17" s="67">
        <v>0</v>
      </c>
      <c r="S17" s="67">
        <v>562.1</v>
      </c>
      <c r="T17" s="67">
        <v>0</v>
      </c>
      <c r="U17" s="67">
        <v>0</v>
      </c>
      <c r="W17" s="67">
        <v>0</v>
      </c>
      <c r="X17" s="67">
        <v>0</v>
      </c>
      <c r="Y17" s="67">
        <v>0</v>
      </c>
      <c r="Z17" s="67">
        <v>0</v>
      </c>
      <c r="AB17" s="67">
        <v>0</v>
      </c>
      <c r="AC17" s="67">
        <v>0</v>
      </c>
      <c r="AD17" s="67">
        <v>0</v>
      </c>
      <c r="AE17" s="67">
        <v>0</v>
      </c>
      <c r="AG17" s="67">
        <v>0</v>
      </c>
      <c r="AH17" s="67">
        <v>0</v>
      </c>
      <c r="AI17" s="67">
        <v>0</v>
      </c>
      <c r="AL17" s="67">
        <v>0</v>
      </c>
      <c r="AO17" s="67">
        <v>0</v>
      </c>
      <c r="AP17" s="67">
        <f t="shared" si="0"/>
        <v>0</v>
      </c>
      <c r="AQ17" s="67">
        <f t="shared" si="1"/>
        <v>0</v>
      </c>
      <c r="AR17" s="67">
        <f t="shared" si="2"/>
        <v>0</v>
      </c>
      <c r="AS17" s="67">
        <f t="shared" si="3"/>
        <v>0</v>
      </c>
      <c r="AT17" s="67">
        <f t="shared" si="4"/>
        <v>0</v>
      </c>
      <c r="AU17" s="67">
        <f t="shared" si="6"/>
        <v>0</v>
      </c>
      <c r="AV17" s="67"/>
    </row>
    <row r="18" spans="1:48" s="104" customFormat="1" ht="14" collapsed="1">
      <c r="A18" s="143" t="s">
        <v>33</v>
      </c>
      <c r="C18" s="125">
        <f>SUM(C11:C17)</f>
        <v>455.59999999999997</v>
      </c>
      <c r="D18" s="125">
        <f>SUM(D11:D17)</f>
        <v>492.4</v>
      </c>
      <c r="E18" s="125">
        <f>SUM(E11:E17)</f>
        <v>466.5</v>
      </c>
      <c r="F18" s="125">
        <f>SUM(F11:F17)</f>
        <v>459.40000000000003</v>
      </c>
      <c r="G18" s="126"/>
      <c r="H18" s="125">
        <f>SUM(H11:H17)</f>
        <v>531.19999999999993</v>
      </c>
      <c r="I18" s="125">
        <f>SUM(I11:I17)</f>
        <v>641.5</v>
      </c>
      <c r="J18" s="125">
        <f>SUM(J11:J17)</f>
        <v>680.99999999999989</v>
      </c>
      <c r="K18" s="125">
        <f>SUM(K11:K17)</f>
        <v>693.9</v>
      </c>
      <c r="L18" s="126"/>
      <c r="M18" s="125">
        <f>SUM(M11:M17)</f>
        <v>811.8</v>
      </c>
      <c r="N18" s="125">
        <f>SUM(N11:N17)</f>
        <v>860.7</v>
      </c>
      <c r="O18" s="125">
        <f>SUM(O11:O17)</f>
        <v>940.6</v>
      </c>
      <c r="P18" s="125">
        <f>SUM(P11:P17)</f>
        <v>932.80000000000007</v>
      </c>
      <c r="Q18" s="126"/>
      <c r="R18" s="125">
        <f>SUM(R11:R17)</f>
        <v>1046.2</v>
      </c>
      <c r="S18" s="125">
        <f>SUM(S11:S17)</f>
        <v>1605</v>
      </c>
      <c r="T18" s="125">
        <f>SUM(T11:T17)</f>
        <v>1003.5999999999999</v>
      </c>
      <c r="U18" s="125">
        <f>SUM(U11:U17)</f>
        <v>1059.5</v>
      </c>
      <c r="V18" s="126"/>
      <c r="W18" s="125">
        <f>SUM(W11:W17)</f>
        <v>1221.3</v>
      </c>
      <c r="X18" s="125">
        <f>SUM(X11:X17)</f>
        <v>1350.8</v>
      </c>
      <c r="Y18" s="125">
        <f>SUM(Y11:Y17)</f>
        <v>1345.2</v>
      </c>
      <c r="Z18" s="125">
        <f>SUM(Z11:Z17)</f>
        <v>1427.2999999999997</v>
      </c>
      <c r="AA18" s="126"/>
      <c r="AB18" s="125">
        <f>SUM(AB11:AB17)</f>
        <v>1611.8000000000002</v>
      </c>
      <c r="AC18" s="125">
        <f>SUM(AC11:AC17)</f>
        <v>1720.3999999999999</v>
      </c>
      <c r="AD18" s="125">
        <f>SUM(AD11:AD17)</f>
        <v>1484.6000000000001</v>
      </c>
      <c r="AE18" s="125">
        <f>SUM(AE11:AE17)</f>
        <v>1575.3000000000002</v>
      </c>
      <c r="AF18" s="126"/>
      <c r="AG18" s="125">
        <f>SUM(AG11:AG17)</f>
        <v>1365.6</v>
      </c>
      <c r="AH18" s="125">
        <f>SUM(AH11:AH17)</f>
        <v>1304.5</v>
      </c>
      <c r="AI18" s="125">
        <f>SUM(AI11:AI17)</f>
        <v>1135.8999999999999</v>
      </c>
      <c r="AJ18" s="125">
        <f>SUM(AJ11:AJ17)</f>
        <v>1291.3</v>
      </c>
      <c r="AL18" s="125">
        <f>SUM(AL11:AL17)</f>
        <v>1891.6999999999998</v>
      </c>
      <c r="AM18" s="125">
        <f>SUM(AM11:AM17)</f>
        <v>1990.8</v>
      </c>
      <c r="AO18" s="125">
        <f>SUM(AO11:AO17)</f>
        <v>404.1</v>
      </c>
      <c r="AP18" s="125">
        <f t="shared" si="0"/>
        <v>459.40000000000003</v>
      </c>
      <c r="AQ18" s="125">
        <f t="shared" si="1"/>
        <v>693.9</v>
      </c>
      <c r="AR18" s="125">
        <f t="shared" si="2"/>
        <v>932.80000000000007</v>
      </c>
      <c r="AS18" s="125">
        <f t="shared" si="3"/>
        <v>1059.5</v>
      </c>
      <c r="AT18" s="125">
        <f t="shared" si="4"/>
        <v>1427.2999999999997</v>
      </c>
      <c r="AU18" s="125">
        <f>AE18</f>
        <v>1575.3000000000002</v>
      </c>
      <c r="AV18" s="125">
        <f t="shared" ref="AV18:AV25" si="7">AJ18</f>
        <v>1291.3</v>
      </c>
    </row>
    <row r="19" spans="1:48" ht="14">
      <c r="A19" s="112" t="s">
        <v>4</v>
      </c>
      <c r="C19" s="67">
        <v>182.9</v>
      </c>
      <c r="D19" s="67">
        <v>196.3</v>
      </c>
      <c r="E19" s="67">
        <v>214.6</v>
      </c>
      <c r="F19" s="67">
        <v>220.9</v>
      </c>
      <c r="G19" s="83"/>
      <c r="H19" s="67">
        <v>222.5</v>
      </c>
      <c r="I19" s="67">
        <v>230</v>
      </c>
      <c r="J19" s="67">
        <v>221.5</v>
      </c>
      <c r="K19" s="67">
        <v>225</v>
      </c>
      <c r="L19" s="83"/>
      <c r="M19" s="67">
        <v>223.8</v>
      </c>
      <c r="N19" s="67">
        <v>233.3</v>
      </c>
      <c r="O19" s="67">
        <v>230.8</v>
      </c>
      <c r="P19" s="67">
        <v>231</v>
      </c>
      <c r="R19" s="67">
        <v>228.1</v>
      </c>
      <c r="S19" s="67">
        <v>297</v>
      </c>
      <c r="T19" s="67">
        <v>296.3</v>
      </c>
      <c r="U19" s="67">
        <v>297.89999999999998</v>
      </c>
      <c r="W19" s="67">
        <v>295.3</v>
      </c>
      <c r="X19" s="67">
        <v>281</v>
      </c>
      <c r="Y19" s="67">
        <v>273.10000000000002</v>
      </c>
      <c r="Z19" s="67">
        <v>299</v>
      </c>
      <c r="AB19" s="67">
        <v>270</v>
      </c>
      <c r="AC19" s="67">
        <v>260.10000000000002</v>
      </c>
      <c r="AD19" s="67">
        <v>255.4</v>
      </c>
      <c r="AE19" s="67">
        <v>258.60000000000002</v>
      </c>
      <c r="AG19" s="67">
        <v>254.4</v>
      </c>
      <c r="AH19" s="67">
        <v>248.8</v>
      </c>
      <c r="AI19" s="67">
        <v>246.7</v>
      </c>
      <c r="AJ19" s="67">
        <v>257.3</v>
      </c>
      <c r="AL19" s="67">
        <v>246.5</v>
      </c>
      <c r="AM19" s="67">
        <v>241.8</v>
      </c>
      <c r="AO19" s="67">
        <v>183.2</v>
      </c>
      <c r="AP19" s="67">
        <f t="shared" si="0"/>
        <v>220.9</v>
      </c>
      <c r="AQ19" s="67">
        <f t="shared" si="1"/>
        <v>225</v>
      </c>
      <c r="AR19" s="67">
        <f t="shared" si="2"/>
        <v>231</v>
      </c>
      <c r="AS19" s="67">
        <f t="shared" si="3"/>
        <v>297.89999999999998</v>
      </c>
      <c r="AT19" s="67">
        <f t="shared" si="4"/>
        <v>299</v>
      </c>
      <c r="AU19" s="67">
        <f t="shared" si="6"/>
        <v>258.60000000000002</v>
      </c>
      <c r="AV19" s="67">
        <f t="shared" si="7"/>
        <v>257.3</v>
      </c>
    </row>
    <row r="20" spans="1:48" ht="14">
      <c r="A20" s="143" t="s">
        <v>202</v>
      </c>
      <c r="G20" s="83"/>
      <c r="L20" s="83"/>
      <c r="AB20" s="67">
        <v>136.80000000000001</v>
      </c>
      <c r="AC20" s="67">
        <v>148.30000000000001</v>
      </c>
      <c r="AD20" s="67">
        <v>190.4</v>
      </c>
      <c r="AE20" s="67">
        <v>196.6</v>
      </c>
      <c r="AG20" s="67">
        <v>191.9</v>
      </c>
      <c r="AH20" s="67">
        <v>154.4</v>
      </c>
      <c r="AI20" s="67">
        <v>146.6</v>
      </c>
      <c r="AJ20" s="67">
        <v>142</v>
      </c>
      <c r="AL20" s="67">
        <v>134.1</v>
      </c>
      <c r="AM20" s="67">
        <v>128.19999999999999</v>
      </c>
      <c r="AO20" s="67"/>
      <c r="AP20" s="67"/>
      <c r="AQ20" s="67"/>
      <c r="AR20" s="67"/>
      <c r="AS20" s="67"/>
      <c r="AT20" s="67"/>
      <c r="AU20" s="67">
        <f t="shared" si="6"/>
        <v>196.6</v>
      </c>
      <c r="AV20" s="67">
        <f t="shared" si="7"/>
        <v>142</v>
      </c>
    </row>
    <row r="21" spans="1:48" ht="14">
      <c r="A21" s="143" t="s">
        <v>34</v>
      </c>
      <c r="C21" s="67">
        <v>152.80000000000001</v>
      </c>
      <c r="D21" s="67">
        <v>150.19999999999999</v>
      </c>
      <c r="E21" s="67">
        <v>152</v>
      </c>
      <c r="F21" s="67">
        <v>152.80000000000001</v>
      </c>
      <c r="G21" s="83"/>
      <c r="H21" s="67">
        <v>159.4</v>
      </c>
      <c r="I21" s="67">
        <v>160.5</v>
      </c>
      <c r="J21" s="67">
        <v>162.9</v>
      </c>
      <c r="K21" s="67">
        <v>163.69999999999999</v>
      </c>
      <c r="L21" s="83"/>
      <c r="M21" s="67">
        <v>169.7</v>
      </c>
      <c r="N21" s="67">
        <v>170.4</v>
      </c>
      <c r="O21" s="67">
        <v>171.8</v>
      </c>
      <c r="P21" s="67">
        <v>172.1</v>
      </c>
      <c r="R21" s="67">
        <v>178.6</v>
      </c>
      <c r="S21" s="67">
        <v>186.7</v>
      </c>
      <c r="T21" s="67">
        <v>185</v>
      </c>
      <c r="U21" s="67">
        <v>180.8</v>
      </c>
      <c r="W21" s="67">
        <v>184.9</v>
      </c>
      <c r="X21" s="67">
        <v>184.5</v>
      </c>
      <c r="Y21" s="67">
        <v>184.2</v>
      </c>
      <c r="Z21" s="67">
        <v>183.6</v>
      </c>
      <c r="AB21" s="67">
        <v>188.5</v>
      </c>
      <c r="AC21" s="67">
        <v>185.7</v>
      </c>
      <c r="AD21" s="67">
        <v>182.1</v>
      </c>
      <c r="AE21" s="67">
        <v>179.3</v>
      </c>
      <c r="AG21" s="67">
        <v>181.5</v>
      </c>
      <c r="AH21" s="67">
        <v>181.5</v>
      </c>
      <c r="AI21" s="67">
        <v>176.2</v>
      </c>
      <c r="AJ21" s="67">
        <v>176.1</v>
      </c>
      <c r="AL21" s="67">
        <v>183.2</v>
      </c>
      <c r="AM21" s="67">
        <v>183</v>
      </c>
      <c r="AO21" s="67">
        <v>149</v>
      </c>
      <c r="AP21" s="67">
        <f>F21</f>
        <v>152.80000000000001</v>
      </c>
      <c r="AQ21" s="67">
        <f>K21</f>
        <v>163.69999999999999</v>
      </c>
      <c r="AR21" s="67">
        <f>P21</f>
        <v>172.1</v>
      </c>
      <c r="AS21" s="67">
        <f>U21</f>
        <v>180.8</v>
      </c>
      <c r="AT21" s="67">
        <f>Z21</f>
        <v>183.6</v>
      </c>
      <c r="AU21" s="67">
        <f t="shared" si="6"/>
        <v>179.3</v>
      </c>
      <c r="AV21" s="67">
        <f t="shared" si="7"/>
        <v>176.1</v>
      </c>
    </row>
    <row r="22" spans="1:48" ht="14">
      <c r="A22" s="143" t="s">
        <v>5</v>
      </c>
      <c r="C22" s="67">
        <v>1627.6</v>
      </c>
      <c r="D22" s="67">
        <v>1627.6</v>
      </c>
      <c r="E22" s="67">
        <v>1661.2</v>
      </c>
      <c r="F22" s="67">
        <v>1661.2</v>
      </c>
      <c r="G22" s="83"/>
      <c r="H22" s="67">
        <v>1661.4</v>
      </c>
      <c r="I22" s="67">
        <v>1662.3</v>
      </c>
      <c r="J22" s="67">
        <v>1662.3</v>
      </c>
      <c r="K22" s="67">
        <v>1663.4</v>
      </c>
      <c r="L22" s="83"/>
      <c r="M22" s="67">
        <v>1663.4</v>
      </c>
      <c r="N22" s="67">
        <v>1664.9</v>
      </c>
      <c r="O22" s="67">
        <v>1678.1</v>
      </c>
      <c r="P22" s="67">
        <v>1718.4</v>
      </c>
      <c r="R22" s="67">
        <v>1718.4</v>
      </c>
      <c r="S22" s="67">
        <v>2820.9</v>
      </c>
      <c r="T22" s="67">
        <v>2882</v>
      </c>
      <c r="U22" s="67">
        <v>2859.9</v>
      </c>
      <c r="W22" s="67">
        <v>2898.3</v>
      </c>
      <c r="X22" s="67">
        <v>2837.5</v>
      </c>
      <c r="Y22" s="67">
        <v>2966.6</v>
      </c>
      <c r="Z22" s="67">
        <v>2948</v>
      </c>
      <c r="AB22" s="67">
        <v>2948.3</v>
      </c>
      <c r="AC22" s="67">
        <v>2965.8</v>
      </c>
      <c r="AD22" s="67">
        <v>2932.2</v>
      </c>
      <c r="AE22" s="67">
        <v>2976.5</v>
      </c>
      <c r="AG22" s="67">
        <v>2994.6</v>
      </c>
      <c r="AH22" s="67">
        <v>3044.3</v>
      </c>
      <c r="AI22" s="67">
        <v>3221.3</v>
      </c>
      <c r="AJ22" s="67">
        <v>3275.1</v>
      </c>
      <c r="AL22" s="67">
        <v>3496.2</v>
      </c>
      <c r="AM22" s="67">
        <v>3525.2</v>
      </c>
      <c r="AO22" s="67">
        <v>1627.6</v>
      </c>
      <c r="AP22" s="67">
        <f>F22</f>
        <v>1661.2</v>
      </c>
      <c r="AQ22" s="67">
        <f>K22</f>
        <v>1663.4</v>
      </c>
      <c r="AR22" s="67">
        <f>P22</f>
        <v>1718.4</v>
      </c>
      <c r="AS22" s="67">
        <f>U22</f>
        <v>2859.9</v>
      </c>
      <c r="AT22" s="67">
        <f>Z22</f>
        <v>2948</v>
      </c>
      <c r="AU22" s="67">
        <f t="shared" si="6"/>
        <v>2976.5</v>
      </c>
      <c r="AV22" s="67">
        <f t="shared" si="7"/>
        <v>3275.1</v>
      </c>
    </row>
    <row r="23" spans="1:48" ht="14">
      <c r="A23" s="143" t="s">
        <v>6</v>
      </c>
      <c r="C23" s="67">
        <v>811.9</v>
      </c>
      <c r="D23" s="67">
        <v>788.1</v>
      </c>
      <c r="E23" s="67">
        <v>774.5</v>
      </c>
      <c r="F23" s="67">
        <v>749.7</v>
      </c>
      <c r="G23" s="83"/>
      <c r="H23" s="67">
        <v>727.3</v>
      </c>
      <c r="I23" s="67">
        <v>730.7</v>
      </c>
      <c r="J23" s="67">
        <v>728.2</v>
      </c>
      <c r="K23" s="67">
        <v>735.3</v>
      </c>
      <c r="L23" s="83"/>
      <c r="M23" s="67">
        <v>711.4</v>
      </c>
      <c r="N23" s="67">
        <v>727.7</v>
      </c>
      <c r="O23" s="67">
        <v>705.5</v>
      </c>
      <c r="P23" s="67">
        <v>716.5</v>
      </c>
      <c r="R23" s="67">
        <v>701.1</v>
      </c>
      <c r="S23" s="67">
        <v>1332.3</v>
      </c>
      <c r="T23" s="67">
        <v>1316.8</v>
      </c>
      <c r="U23" s="67">
        <v>1326</v>
      </c>
      <c r="W23" s="67">
        <v>1317.4</v>
      </c>
      <c r="X23" s="67">
        <v>1251.3</v>
      </c>
      <c r="Y23" s="67">
        <v>1252.8</v>
      </c>
      <c r="Z23" s="67">
        <v>1211.5</v>
      </c>
      <c r="AB23" s="67">
        <v>1179.9000000000001</v>
      </c>
      <c r="AC23" s="67">
        <v>1153.0999999999999</v>
      </c>
      <c r="AD23" s="67">
        <v>1108.5999999999999</v>
      </c>
      <c r="AE23" s="67">
        <v>1097.7</v>
      </c>
      <c r="AG23" s="67">
        <v>1151.9000000000001</v>
      </c>
      <c r="AH23" s="67">
        <v>1136.7</v>
      </c>
      <c r="AI23" s="67">
        <v>1254.7</v>
      </c>
      <c r="AJ23" s="67">
        <v>1255.0999999999999</v>
      </c>
      <c r="AL23" s="67">
        <v>1262.5999999999999</v>
      </c>
      <c r="AM23" s="67">
        <v>1242.4000000000001</v>
      </c>
      <c r="AO23" s="67">
        <v>836</v>
      </c>
      <c r="AP23" s="67">
        <f>F23</f>
        <v>749.7</v>
      </c>
      <c r="AQ23" s="67">
        <f>K23</f>
        <v>735.3</v>
      </c>
      <c r="AR23" s="67">
        <f>P23</f>
        <v>716.5</v>
      </c>
      <c r="AS23" s="67">
        <f>U23</f>
        <v>1326</v>
      </c>
      <c r="AT23" s="67">
        <f>Z23</f>
        <v>1211.5</v>
      </c>
      <c r="AU23" s="67">
        <f t="shared" si="6"/>
        <v>1097.7</v>
      </c>
      <c r="AV23" s="67">
        <f t="shared" si="7"/>
        <v>1255.0999999999999</v>
      </c>
    </row>
    <row r="24" spans="1:48" ht="14">
      <c r="A24" s="143" t="s">
        <v>35</v>
      </c>
      <c r="C24" s="67">
        <v>9.6999999999999993</v>
      </c>
      <c r="D24" s="67">
        <v>11.5</v>
      </c>
      <c r="E24" s="67">
        <v>14.5</v>
      </c>
      <c r="F24" s="67">
        <v>16.7</v>
      </c>
      <c r="G24" s="83"/>
      <c r="H24" s="67">
        <f>12.3+11.4</f>
        <v>23.700000000000003</v>
      </c>
      <c r="I24" s="67">
        <v>12</v>
      </c>
      <c r="J24" s="67">
        <v>11.3</v>
      </c>
      <c r="K24" s="67">
        <v>17.5</v>
      </c>
      <c r="L24" s="83"/>
      <c r="M24" s="67">
        <v>16.7</v>
      </c>
      <c r="N24" s="67">
        <f>6.7+7</f>
        <v>13.7</v>
      </c>
      <c r="O24" s="67">
        <f>6.6+7.8</f>
        <v>14.399999999999999</v>
      </c>
      <c r="P24" s="67">
        <f>11.1+5</f>
        <v>16.100000000000001</v>
      </c>
      <c r="R24" s="67">
        <f>12.1+5.4</f>
        <v>17.5</v>
      </c>
      <c r="S24" s="67">
        <v>12</v>
      </c>
      <c r="T24" s="67">
        <v>11.3</v>
      </c>
      <c r="U24" s="67">
        <v>14.2</v>
      </c>
      <c r="W24" s="67">
        <v>13.8</v>
      </c>
      <c r="X24" s="67">
        <v>22.8</v>
      </c>
      <c r="Y24" s="67">
        <v>15.4</v>
      </c>
      <c r="Z24" s="67">
        <v>14</v>
      </c>
      <c r="AB24" s="67">
        <v>15.3</v>
      </c>
      <c r="AC24" s="67">
        <v>15.5</v>
      </c>
      <c r="AD24" s="67">
        <v>14.3</v>
      </c>
      <c r="AE24" s="67">
        <v>17.2</v>
      </c>
      <c r="AG24" s="67">
        <v>22.3</v>
      </c>
      <c r="AH24" s="67">
        <v>21.9</v>
      </c>
      <c r="AI24" s="67">
        <v>26.4</v>
      </c>
      <c r="AJ24" s="67">
        <v>36</v>
      </c>
      <c r="AL24" s="67">
        <v>45</v>
      </c>
      <c r="AM24" s="95">
        <v>50.7</v>
      </c>
      <c r="AO24" s="67">
        <v>8.5</v>
      </c>
      <c r="AP24" s="67">
        <f>F24</f>
        <v>16.7</v>
      </c>
      <c r="AQ24" s="67">
        <f>K24</f>
        <v>17.5</v>
      </c>
      <c r="AR24" s="67">
        <f>P24</f>
        <v>16.100000000000001</v>
      </c>
      <c r="AS24" s="67">
        <f>U24</f>
        <v>14.2</v>
      </c>
      <c r="AT24" s="67">
        <f>Z24</f>
        <v>14</v>
      </c>
      <c r="AU24" s="67">
        <f t="shared" si="6"/>
        <v>17.2</v>
      </c>
      <c r="AV24" s="67">
        <f t="shared" si="7"/>
        <v>36</v>
      </c>
    </row>
    <row r="25" spans="1:48" s="104" customFormat="1" ht="15" thickBot="1">
      <c r="A25" s="143" t="s">
        <v>7</v>
      </c>
      <c r="C25" s="127">
        <f>SUM(C18:C24)</f>
        <v>3240.4999999999995</v>
      </c>
      <c r="D25" s="127">
        <f>SUM(D18:D24)</f>
        <v>3266.1</v>
      </c>
      <c r="E25" s="127">
        <f>SUM(E18:E24)</f>
        <v>3283.3</v>
      </c>
      <c r="F25" s="127">
        <f>SUM(F18:F24)</f>
        <v>3260.7</v>
      </c>
      <c r="G25" s="128"/>
      <c r="H25" s="127">
        <f>SUM(H18:H24)</f>
        <v>3325.5</v>
      </c>
      <c r="I25" s="127">
        <f>SUM(I18:I24)</f>
        <v>3437</v>
      </c>
      <c r="J25" s="127">
        <f>SUM(J18:J24)</f>
        <v>3467.2</v>
      </c>
      <c r="K25" s="127">
        <f>SUM(K18:K24)</f>
        <v>3498.8</v>
      </c>
      <c r="L25" s="128"/>
      <c r="M25" s="127">
        <f>SUM(M18:M24)</f>
        <v>3596.7999999999997</v>
      </c>
      <c r="N25" s="127">
        <f>SUM(N18:N24)</f>
        <v>3670.7</v>
      </c>
      <c r="O25" s="127">
        <f>SUM(O18:O24)</f>
        <v>3741.2000000000003</v>
      </c>
      <c r="P25" s="127">
        <f>SUM(P18:P24)</f>
        <v>3786.9</v>
      </c>
      <c r="Q25" s="128"/>
      <c r="R25" s="127">
        <f>SUM(R18:R24)</f>
        <v>3889.9</v>
      </c>
      <c r="S25" s="127">
        <f>SUM(S18:S24)</f>
        <v>6253.9000000000005</v>
      </c>
      <c r="T25" s="127">
        <f>SUM(T18:T24)</f>
        <v>5695</v>
      </c>
      <c r="U25" s="127">
        <f>SUM(U18:U24)</f>
        <v>5738.3</v>
      </c>
      <c r="V25" s="128"/>
      <c r="W25" s="127">
        <f>SUM(W18:W24)</f>
        <v>5931.0000000000009</v>
      </c>
      <c r="X25" s="127">
        <f>SUM(X18:X24)</f>
        <v>5927.9000000000005</v>
      </c>
      <c r="Y25" s="127">
        <f>SUM(Y18:Y24)</f>
        <v>6037.3</v>
      </c>
      <c r="Z25" s="127">
        <f>SUM(Z18:Z24)</f>
        <v>6083.4</v>
      </c>
      <c r="AA25" s="128"/>
      <c r="AB25" s="127">
        <f>SUM(AB18:AB24)</f>
        <v>6350.6000000000013</v>
      </c>
      <c r="AC25" s="127">
        <f>SUM(AC18:AC24)</f>
        <v>6448.9</v>
      </c>
      <c r="AD25" s="127">
        <f>SUM(AD18:AD24)</f>
        <v>6167.6000000000013</v>
      </c>
      <c r="AE25" s="127">
        <f>SUM(AE18:AE24)</f>
        <v>6301.2</v>
      </c>
      <c r="AF25" s="128"/>
      <c r="AG25" s="127">
        <f>SUM(AG18:AG24)</f>
        <v>6162.2</v>
      </c>
      <c r="AH25" s="127">
        <f>SUM(AH18:AH24)</f>
        <v>6092.0999999999995</v>
      </c>
      <c r="AI25" s="127">
        <f>SUM(AI18:AI24)</f>
        <v>6207.7999999999993</v>
      </c>
      <c r="AJ25" s="127">
        <f>SUM(AJ18:AJ24)</f>
        <v>6432.9</v>
      </c>
      <c r="AK25" s="129"/>
      <c r="AL25" s="127">
        <f>SUM(AL18:AL24)</f>
        <v>7259.2999999999993</v>
      </c>
      <c r="AM25" s="142">
        <v>7362.1</v>
      </c>
      <c r="AN25" s="129"/>
      <c r="AO25" s="127">
        <f>SUM(AO18:AO24)</f>
        <v>3208.3999999999996</v>
      </c>
      <c r="AP25" s="127">
        <f>F25</f>
        <v>3260.7</v>
      </c>
      <c r="AQ25" s="127">
        <f>K25</f>
        <v>3498.8</v>
      </c>
      <c r="AR25" s="127">
        <f>P25</f>
        <v>3786.9</v>
      </c>
      <c r="AS25" s="127">
        <f>U25</f>
        <v>5738.3</v>
      </c>
      <c r="AT25" s="127">
        <f>Z25</f>
        <v>6083.4</v>
      </c>
      <c r="AU25" s="127">
        <f t="shared" si="6"/>
        <v>6301.2</v>
      </c>
      <c r="AV25" s="127">
        <f t="shared" si="7"/>
        <v>6432.9</v>
      </c>
    </row>
    <row r="26" spans="1:48" ht="15" thickTop="1">
      <c r="A26" s="92" t="s">
        <v>36</v>
      </c>
      <c r="G26" s="83"/>
      <c r="L26" s="83"/>
      <c r="AO26" s="67"/>
      <c r="AP26" s="67"/>
      <c r="AQ26" s="67"/>
      <c r="AR26" s="67"/>
      <c r="AS26" s="67"/>
      <c r="AT26" s="67"/>
      <c r="AU26" s="67"/>
      <c r="AV26" s="67"/>
    </row>
    <row r="27" spans="1:48" ht="14">
      <c r="A27" s="143" t="s">
        <v>8</v>
      </c>
      <c r="G27" s="83"/>
      <c r="L27" s="83"/>
      <c r="AO27" s="67"/>
      <c r="AP27" s="67"/>
      <c r="AQ27" s="67"/>
      <c r="AR27" s="67"/>
      <c r="AS27" s="67"/>
      <c r="AT27" s="67"/>
      <c r="AU27" s="67"/>
      <c r="AV27" s="67"/>
    </row>
    <row r="28" spans="1:48" ht="14">
      <c r="A28" s="97" t="s">
        <v>9</v>
      </c>
      <c r="C28" s="93">
        <v>22.8</v>
      </c>
      <c r="D28" s="93">
        <v>33.4</v>
      </c>
      <c r="E28" s="93">
        <v>34.6</v>
      </c>
      <c r="F28" s="93">
        <v>31.9</v>
      </c>
      <c r="G28" s="94"/>
      <c r="H28" s="93">
        <v>35.799999999999997</v>
      </c>
      <c r="I28" s="93">
        <v>39.799999999999997</v>
      </c>
      <c r="J28" s="93">
        <v>28.9</v>
      </c>
      <c r="K28" s="93">
        <v>39.4</v>
      </c>
      <c r="L28" s="94"/>
      <c r="M28" s="93">
        <v>60.9</v>
      </c>
      <c r="N28" s="93">
        <v>66.3</v>
      </c>
      <c r="O28" s="93">
        <v>63.2</v>
      </c>
      <c r="P28" s="93">
        <v>61.7</v>
      </c>
      <c r="Q28" s="93"/>
      <c r="R28" s="93">
        <v>70</v>
      </c>
      <c r="S28" s="93">
        <v>66.400000000000006</v>
      </c>
      <c r="T28" s="93">
        <v>49.5</v>
      </c>
      <c r="U28" s="93">
        <v>59.6</v>
      </c>
      <c r="V28" s="93"/>
      <c r="W28" s="93">
        <v>57.9</v>
      </c>
      <c r="X28" s="93">
        <v>51.9</v>
      </c>
      <c r="Y28" s="93">
        <v>45.7</v>
      </c>
      <c r="Z28" s="93">
        <v>61.6</v>
      </c>
      <c r="AA28" s="93"/>
      <c r="AB28" s="93">
        <v>99.5</v>
      </c>
      <c r="AC28" s="93">
        <v>82.9</v>
      </c>
      <c r="AD28" s="93">
        <v>71.400000000000006</v>
      </c>
      <c r="AE28" s="93">
        <v>72.3</v>
      </c>
      <c r="AF28" s="93"/>
      <c r="AG28" s="93">
        <v>92.2</v>
      </c>
      <c r="AH28" s="93">
        <v>76</v>
      </c>
      <c r="AI28" s="93">
        <v>49.6</v>
      </c>
      <c r="AJ28" s="93">
        <v>51</v>
      </c>
      <c r="AK28" s="98"/>
      <c r="AL28" s="93">
        <v>70.5</v>
      </c>
      <c r="AM28" s="93">
        <v>77.400000000000006</v>
      </c>
      <c r="AN28" s="98"/>
      <c r="AO28" s="93">
        <v>24</v>
      </c>
      <c r="AP28" s="93">
        <f>F28</f>
        <v>31.9</v>
      </c>
      <c r="AQ28" s="93">
        <f>K28</f>
        <v>39.4</v>
      </c>
      <c r="AR28" s="93">
        <f t="shared" ref="AR28:AR37" si="8">P28</f>
        <v>61.7</v>
      </c>
      <c r="AS28" s="93">
        <f t="shared" ref="AS28:AS37" si="9">U28</f>
        <v>59.6</v>
      </c>
      <c r="AT28" s="93">
        <f t="shared" ref="AT28:AT37" si="10">Z28</f>
        <v>61.6</v>
      </c>
      <c r="AU28" s="93">
        <f t="shared" si="6"/>
        <v>72.3</v>
      </c>
      <c r="AV28" s="93">
        <f>AJ28</f>
        <v>51</v>
      </c>
    </row>
    <row r="29" spans="1:48" ht="14">
      <c r="A29" s="97" t="s">
        <v>171</v>
      </c>
      <c r="C29" s="67">
        <v>111.4</v>
      </c>
      <c r="D29" s="67">
        <v>127.2</v>
      </c>
      <c r="E29" s="67">
        <v>125.7</v>
      </c>
      <c r="F29" s="67">
        <v>114.5</v>
      </c>
      <c r="G29" s="83"/>
      <c r="H29" s="67">
        <v>123.6</v>
      </c>
      <c r="I29" s="67">
        <v>133.9</v>
      </c>
      <c r="J29" s="67">
        <v>142.80000000000001</v>
      </c>
      <c r="K29" s="67">
        <v>127</v>
      </c>
      <c r="L29" s="83"/>
      <c r="M29" s="67">
        <v>126.1</v>
      </c>
      <c r="N29" s="67">
        <v>129</v>
      </c>
      <c r="O29" s="67">
        <v>124.6</v>
      </c>
      <c r="P29" s="67">
        <v>143</v>
      </c>
      <c r="R29" s="67">
        <v>132.19999999999999</v>
      </c>
      <c r="S29" s="67">
        <v>333.4</v>
      </c>
      <c r="T29" s="67">
        <v>430.6</v>
      </c>
      <c r="U29" s="67">
        <v>469.6</v>
      </c>
      <c r="W29" s="67">
        <v>492.3</v>
      </c>
      <c r="X29" s="67">
        <v>400.3</v>
      </c>
      <c r="Y29" s="67">
        <v>438.8</v>
      </c>
      <c r="Z29" s="67">
        <v>414.3</v>
      </c>
      <c r="AB29" s="67">
        <v>379.9</v>
      </c>
      <c r="AC29" s="67">
        <v>396.7</v>
      </c>
      <c r="AD29" s="67">
        <v>338.9</v>
      </c>
      <c r="AE29" s="67">
        <v>366</v>
      </c>
      <c r="AG29" s="67">
        <v>407</v>
      </c>
      <c r="AH29" s="67">
        <v>369.2</v>
      </c>
      <c r="AI29" s="67">
        <v>465.3</v>
      </c>
      <c r="AJ29" s="67">
        <v>527.4</v>
      </c>
      <c r="AL29" s="67">
        <v>494.2</v>
      </c>
      <c r="AM29" s="67">
        <v>483.6</v>
      </c>
      <c r="AO29" s="67">
        <v>130.69999999999999</v>
      </c>
      <c r="AP29" s="67">
        <f>F29</f>
        <v>114.5</v>
      </c>
      <c r="AQ29" s="67">
        <f>K29</f>
        <v>127</v>
      </c>
      <c r="AR29" s="67">
        <f t="shared" si="8"/>
        <v>143</v>
      </c>
      <c r="AS29" s="67">
        <f t="shared" si="9"/>
        <v>469.6</v>
      </c>
      <c r="AT29" s="67">
        <f t="shared" si="10"/>
        <v>414.3</v>
      </c>
      <c r="AU29" s="67">
        <f t="shared" si="6"/>
        <v>366</v>
      </c>
      <c r="AV29" s="67">
        <f>AJ29</f>
        <v>527.4</v>
      </c>
    </row>
    <row r="30" spans="1:48" ht="14" hidden="1" outlineLevel="1" collapsed="1">
      <c r="A30" s="97" t="s">
        <v>150</v>
      </c>
      <c r="C30" s="67">
        <v>0</v>
      </c>
      <c r="D30" s="67">
        <v>0</v>
      </c>
      <c r="E30" s="67">
        <v>0</v>
      </c>
      <c r="F30" s="67">
        <v>0</v>
      </c>
      <c r="G30" s="83"/>
      <c r="H30" s="67">
        <v>0</v>
      </c>
      <c r="I30" s="67">
        <v>0</v>
      </c>
      <c r="J30" s="67">
        <v>0</v>
      </c>
      <c r="K30" s="67">
        <v>5.3</v>
      </c>
      <c r="L30" s="83"/>
      <c r="M30" s="67">
        <v>5.8</v>
      </c>
      <c r="N30" s="67">
        <v>0</v>
      </c>
      <c r="O30" s="67">
        <v>0</v>
      </c>
      <c r="P30" s="67">
        <v>10</v>
      </c>
      <c r="R30" s="67">
        <v>3</v>
      </c>
      <c r="S30" s="67">
        <v>0</v>
      </c>
      <c r="T30" s="67">
        <v>0</v>
      </c>
      <c r="U30" s="67">
        <v>0</v>
      </c>
      <c r="W30" s="67">
        <v>0</v>
      </c>
      <c r="X30" s="67">
        <v>0</v>
      </c>
      <c r="Y30" s="67">
        <v>0</v>
      </c>
      <c r="Z30" s="67">
        <v>0</v>
      </c>
      <c r="AB30" s="67">
        <v>0</v>
      </c>
      <c r="AC30" s="67">
        <v>0</v>
      </c>
      <c r="AD30" s="67">
        <v>0</v>
      </c>
      <c r="AE30" s="67">
        <v>0</v>
      </c>
      <c r="AO30" s="67">
        <v>0</v>
      </c>
      <c r="AP30" s="67">
        <v>0</v>
      </c>
      <c r="AQ30" s="67">
        <v>5.3</v>
      </c>
      <c r="AR30" s="67">
        <f t="shared" si="8"/>
        <v>10</v>
      </c>
      <c r="AS30" s="67">
        <f t="shared" si="9"/>
        <v>0</v>
      </c>
      <c r="AT30" s="67">
        <f t="shared" si="10"/>
        <v>0</v>
      </c>
      <c r="AU30" s="67">
        <f t="shared" si="6"/>
        <v>0</v>
      </c>
      <c r="AV30" s="67"/>
    </row>
    <row r="31" spans="1:48" ht="14" collapsed="1">
      <c r="A31" s="97" t="s">
        <v>72</v>
      </c>
      <c r="C31" s="67">
        <v>771.4</v>
      </c>
      <c r="D31" s="67">
        <v>804.4</v>
      </c>
      <c r="E31" s="67">
        <v>821.6</v>
      </c>
      <c r="F31" s="67">
        <v>821.4</v>
      </c>
      <c r="G31" s="83"/>
      <c r="H31" s="67">
        <v>881.8</v>
      </c>
      <c r="I31" s="67">
        <v>914.2</v>
      </c>
      <c r="J31" s="67">
        <v>934</v>
      </c>
      <c r="K31" s="67">
        <v>937.7</v>
      </c>
      <c r="L31" s="83"/>
      <c r="M31" s="67">
        <v>994.2</v>
      </c>
      <c r="N31" s="67">
        <v>1026.8</v>
      </c>
      <c r="O31" s="67">
        <v>1043.3</v>
      </c>
      <c r="P31" s="67">
        <v>1043.5</v>
      </c>
      <c r="R31" s="67">
        <v>1111.8</v>
      </c>
      <c r="S31" s="67">
        <v>1217</v>
      </c>
      <c r="T31" s="67">
        <v>1254.3</v>
      </c>
      <c r="U31" s="67">
        <v>1264.8</v>
      </c>
      <c r="W31" s="67">
        <v>1345.6</v>
      </c>
      <c r="X31" s="67">
        <v>1385.2</v>
      </c>
      <c r="Y31" s="67">
        <v>1399.7</v>
      </c>
      <c r="Z31" s="67">
        <v>1393.7</v>
      </c>
      <c r="AB31" s="67">
        <v>1474.6</v>
      </c>
      <c r="AC31" s="67">
        <v>1521.3</v>
      </c>
      <c r="AD31" s="67">
        <v>1539.9</v>
      </c>
      <c r="AE31" s="67">
        <v>1544.4</v>
      </c>
      <c r="AG31" s="67">
        <v>1606.4</v>
      </c>
      <c r="AH31" s="67">
        <v>1659</v>
      </c>
      <c r="AI31" s="67">
        <v>1700</v>
      </c>
      <c r="AJ31" s="67">
        <v>1711.3</v>
      </c>
      <c r="AL31" s="67">
        <v>1806.2</v>
      </c>
      <c r="AM31" s="67">
        <v>1871.4</v>
      </c>
      <c r="AO31" s="67">
        <v>702.3</v>
      </c>
      <c r="AP31" s="67">
        <f>F31</f>
        <v>821.4</v>
      </c>
      <c r="AQ31" s="67">
        <f>K31</f>
        <v>937.7</v>
      </c>
      <c r="AR31" s="67">
        <f t="shared" si="8"/>
        <v>1043.5</v>
      </c>
      <c r="AS31" s="67">
        <f t="shared" si="9"/>
        <v>1264.8</v>
      </c>
      <c r="AT31" s="67">
        <f t="shared" si="10"/>
        <v>1393.7</v>
      </c>
      <c r="AU31" s="67">
        <f t="shared" si="6"/>
        <v>1544.4</v>
      </c>
      <c r="AV31" s="67">
        <f>AJ31</f>
        <v>1711.3</v>
      </c>
    </row>
    <row r="32" spans="1:48" ht="14">
      <c r="A32" s="97" t="s">
        <v>178</v>
      </c>
      <c r="C32" s="67">
        <v>0.4</v>
      </c>
      <c r="D32" s="67">
        <v>4.5</v>
      </c>
      <c r="E32" s="67">
        <v>4.4000000000000004</v>
      </c>
      <c r="F32" s="67">
        <v>4.4000000000000004</v>
      </c>
      <c r="G32" s="83"/>
      <c r="H32" s="67">
        <v>4.3</v>
      </c>
      <c r="I32" s="67">
        <v>4.4000000000000004</v>
      </c>
      <c r="J32" s="67">
        <v>4.3</v>
      </c>
      <c r="K32" s="67">
        <v>4.2</v>
      </c>
      <c r="L32" s="83"/>
      <c r="M32" s="67">
        <v>4.2</v>
      </c>
      <c r="N32" s="67">
        <v>4.0999999999999996</v>
      </c>
      <c r="O32" s="67">
        <v>4.0999999999999996</v>
      </c>
      <c r="P32" s="67">
        <v>4</v>
      </c>
      <c r="R32" s="67">
        <v>6</v>
      </c>
      <c r="S32" s="67">
        <v>580.79999999999995</v>
      </c>
      <c r="T32" s="67">
        <v>16.100000000000001</v>
      </c>
      <c r="U32" s="67">
        <v>16.7</v>
      </c>
      <c r="W32" s="67">
        <v>16.7</v>
      </c>
      <c r="X32" s="67">
        <v>16.7</v>
      </c>
      <c r="Y32" s="67">
        <v>16.7</v>
      </c>
      <c r="Z32" s="67">
        <v>16.600000000000001</v>
      </c>
      <c r="AB32" s="67">
        <v>16.5</v>
      </c>
      <c r="AC32" s="67">
        <v>19.2</v>
      </c>
      <c r="AD32" s="67">
        <v>19.100000000000001</v>
      </c>
      <c r="AE32" s="67">
        <v>18.399999999999999</v>
      </c>
      <c r="AG32" s="67">
        <v>18.399999999999999</v>
      </c>
      <c r="AH32" s="67">
        <v>18.100000000000001</v>
      </c>
      <c r="AI32" s="67">
        <v>22.6</v>
      </c>
      <c r="AJ32" s="67">
        <v>24.3</v>
      </c>
      <c r="AL32" s="67">
        <v>24.1</v>
      </c>
      <c r="AM32" s="67">
        <v>24.1</v>
      </c>
      <c r="AO32" s="67">
        <v>0.7</v>
      </c>
      <c r="AP32" s="67">
        <f>F32</f>
        <v>4.4000000000000004</v>
      </c>
      <c r="AQ32" s="67">
        <f>K32</f>
        <v>4.2</v>
      </c>
      <c r="AR32" s="67">
        <f t="shared" si="8"/>
        <v>4</v>
      </c>
      <c r="AS32" s="67">
        <f t="shared" si="9"/>
        <v>16.7</v>
      </c>
      <c r="AT32" s="67">
        <f t="shared" si="10"/>
        <v>16.600000000000001</v>
      </c>
      <c r="AU32" s="67">
        <f t="shared" si="6"/>
        <v>18.399999999999999</v>
      </c>
      <c r="AV32" s="67">
        <f>AJ32</f>
        <v>24.3</v>
      </c>
    </row>
    <row r="33" spans="1:48" ht="14">
      <c r="A33" s="97" t="s">
        <v>151</v>
      </c>
      <c r="C33" s="67">
        <v>0</v>
      </c>
      <c r="D33" s="67">
        <v>0</v>
      </c>
      <c r="E33" s="67">
        <v>0</v>
      </c>
      <c r="F33" s="67">
        <v>0</v>
      </c>
      <c r="G33" s="83"/>
      <c r="H33" s="67">
        <v>0</v>
      </c>
      <c r="I33" s="67">
        <v>2.5</v>
      </c>
      <c r="J33" s="67">
        <v>3</v>
      </c>
      <c r="K33" s="67">
        <v>0</v>
      </c>
      <c r="L33" s="83"/>
      <c r="M33" s="67">
        <v>3.6</v>
      </c>
      <c r="N33" s="67">
        <v>6.9</v>
      </c>
      <c r="O33" s="67">
        <v>0</v>
      </c>
      <c r="P33" s="67">
        <v>0</v>
      </c>
      <c r="R33" s="67">
        <v>0</v>
      </c>
      <c r="S33" s="67">
        <v>0</v>
      </c>
      <c r="T33" s="67">
        <v>0</v>
      </c>
      <c r="U33" s="67">
        <v>0</v>
      </c>
      <c r="W33" s="67">
        <v>0</v>
      </c>
      <c r="X33" s="67">
        <v>0</v>
      </c>
      <c r="Y33" s="67">
        <v>0</v>
      </c>
      <c r="Z33" s="67">
        <v>0</v>
      </c>
      <c r="AB33" s="67">
        <v>0</v>
      </c>
      <c r="AC33" s="67">
        <v>0</v>
      </c>
      <c r="AD33" s="67">
        <v>0</v>
      </c>
      <c r="AE33" s="67">
        <v>0</v>
      </c>
      <c r="AG33" s="67">
        <v>0</v>
      </c>
      <c r="AH33" s="67">
        <v>850</v>
      </c>
      <c r="AI33" s="67">
        <v>0.2</v>
      </c>
      <c r="AJ33" s="67">
        <v>0.2</v>
      </c>
      <c r="AL33" s="67">
        <v>0</v>
      </c>
      <c r="AM33" s="95">
        <v>0</v>
      </c>
      <c r="AO33" s="67">
        <v>0</v>
      </c>
      <c r="AP33" s="67">
        <f>F33</f>
        <v>0</v>
      </c>
      <c r="AQ33" s="67">
        <v>0</v>
      </c>
      <c r="AR33" s="67">
        <f>P33</f>
        <v>0</v>
      </c>
      <c r="AS33" s="67">
        <f>U33</f>
        <v>0</v>
      </c>
      <c r="AT33" s="67">
        <f>Z33</f>
        <v>0</v>
      </c>
      <c r="AU33" s="67">
        <f>AE33</f>
        <v>0</v>
      </c>
      <c r="AV33" s="67">
        <f>AJ33</f>
        <v>0.2</v>
      </c>
    </row>
    <row r="34" spans="1:48" ht="14" hidden="1" outlineLevel="1">
      <c r="A34" s="97" t="s">
        <v>160</v>
      </c>
      <c r="C34" s="67">
        <v>0</v>
      </c>
      <c r="D34" s="67">
        <v>0</v>
      </c>
      <c r="E34" s="67">
        <v>0</v>
      </c>
      <c r="F34" s="67">
        <v>0</v>
      </c>
      <c r="G34" s="83"/>
      <c r="H34" s="67">
        <v>0</v>
      </c>
      <c r="I34" s="67">
        <v>0</v>
      </c>
      <c r="J34" s="67">
        <v>0</v>
      </c>
      <c r="K34" s="67">
        <v>0</v>
      </c>
      <c r="L34" s="83"/>
      <c r="M34" s="67">
        <v>0</v>
      </c>
      <c r="N34" s="67">
        <v>0</v>
      </c>
      <c r="O34" s="67">
        <v>0</v>
      </c>
      <c r="P34" s="67">
        <v>0</v>
      </c>
      <c r="R34" s="67">
        <v>0</v>
      </c>
      <c r="S34" s="67">
        <v>126.5</v>
      </c>
      <c r="T34" s="67">
        <v>0</v>
      </c>
      <c r="U34" s="67">
        <v>0</v>
      </c>
      <c r="W34" s="67">
        <v>0</v>
      </c>
      <c r="X34" s="67">
        <v>0</v>
      </c>
      <c r="Y34" s="67">
        <v>0</v>
      </c>
      <c r="Z34" s="67">
        <v>0</v>
      </c>
      <c r="AB34" s="67">
        <v>0</v>
      </c>
      <c r="AC34" s="67">
        <v>0</v>
      </c>
      <c r="AD34" s="67">
        <v>0</v>
      </c>
      <c r="AE34" s="67">
        <v>0</v>
      </c>
      <c r="AO34" s="67">
        <v>0</v>
      </c>
      <c r="AP34" s="67">
        <v>0</v>
      </c>
      <c r="AQ34" s="67">
        <v>0</v>
      </c>
      <c r="AR34" s="67">
        <f t="shared" si="8"/>
        <v>0</v>
      </c>
      <c r="AS34" s="67">
        <f t="shared" si="9"/>
        <v>0</v>
      </c>
      <c r="AT34" s="67">
        <f t="shared" si="10"/>
        <v>0</v>
      </c>
      <c r="AU34" s="67">
        <f t="shared" si="6"/>
        <v>0</v>
      </c>
      <c r="AV34" s="67"/>
    </row>
    <row r="35" spans="1:48" s="104" customFormat="1" ht="14" collapsed="1">
      <c r="A35" s="66" t="s">
        <v>37</v>
      </c>
      <c r="C35" s="125">
        <f>SUM(C28:C34)</f>
        <v>906</v>
      </c>
      <c r="D35" s="125">
        <f>SUM(D28:D34)</f>
        <v>969.5</v>
      </c>
      <c r="E35" s="125">
        <f>SUM(E28:E34)</f>
        <v>986.30000000000007</v>
      </c>
      <c r="F35" s="125">
        <f>SUM(F28:F34)</f>
        <v>972.19999999999993</v>
      </c>
      <c r="G35" s="126"/>
      <c r="H35" s="125">
        <f>SUM(H28:H34)</f>
        <v>1045.4999999999998</v>
      </c>
      <c r="I35" s="125">
        <f>SUM(I28:I34)</f>
        <v>1094.8000000000002</v>
      </c>
      <c r="J35" s="125">
        <f>SUM(J28:J34)</f>
        <v>1113</v>
      </c>
      <c r="K35" s="125">
        <f>SUM(K28:K34)</f>
        <v>1113.6000000000001</v>
      </c>
      <c r="L35" s="126"/>
      <c r="M35" s="125">
        <f>SUM(M28:M34)</f>
        <v>1194.8</v>
      </c>
      <c r="N35" s="125">
        <f>SUM(N28:N34)</f>
        <v>1233.0999999999999</v>
      </c>
      <c r="O35" s="125">
        <f>SUM(O28:O34)</f>
        <v>1235.1999999999998</v>
      </c>
      <c r="P35" s="125">
        <f>SUM(P28:P34)</f>
        <v>1262.2</v>
      </c>
      <c r="Q35" s="126"/>
      <c r="R35" s="125">
        <f>SUM(R28:R34)</f>
        <v>1323</v>
      </c>
      <c r="S35" s="125">
        <f>SUM(S28:S34)</f>
        <v>2324.1</v>
      </c>
      <c r="T35" s="125">
        <f>SUM(T28:T34)</f>
        <v>1750.5</v>
      </c>
      <c r="U35" s="125">
        <f>SUM(U28:U34)</f>
        <v>1810.7</v>
      </c>
      <c r="V35" s="126"/>
      <c r="W35" s="125">
        <f>SUM(W28:W34)</f>
        <v>1912.5</v>
      </c>
      <c r="X35" s="125">
        <f>SUM(X28:X34)</f>
        <v>1854.1000000000001</v>
      </c>
      <c r="Y35" s="125">
        <f>SUM(Y28:Y34)</f>
        <v>1900.9</v>
      </c>
      <c r="Z35" s="125">
        <f>SUM(Z28:Z34)</f>
        <v>1886.2</v>
      </c>
      <c r="AA35" s="126"/>
      <c r="AB35" s="125">
        <f>SUM(AB28:AB34)</f>
        <v>1970.5</v>
      </c>
      <c r="AC35" s="125">
        <f>SUM(AC28:AC34)</f>
        <v>2020.1000000000001</v>
      </c>
      <c r="AD35" s="125">
        <f>SUM(AD28:AD34)</f>
        <v>1969.3</v>
      </c>
      <c r="AE35" s="125">
        <f>SUM(AE28:AE34)</f>
        <v>2001.1000000000001</v>
      </c>
      <c r="AF35" s="126"/>
      <c r="AG35" s="125">
        <f>SUM(AG28:AG34)</f>
        <v>2124</v>
      </c>
      <c r="AH35" s="125">
        <f>SUM(AH28:AH34)</f>
        <v>2972.2999999999997</v>
      </c>
      <c r="AI35" s="125">
        <f>SUM(AI28:AI34)</f>
        <v>2237.6999999999998</v>
      </c>
      <c r="AJ35" s="125">
        <f>SUM(AJ28:AJ34)</f>
        <v>2314.1999999999998</v>
      </c>
      <c r="AL35" s="125">
        <f>SUM(AL28:AL34)</f>
        <v>2395</v>
      </c>
      <c r="AM35" s="125">
        <f>SUM(AM28:AM34)</f>
        <v>2456.5</v>
      </c>
      <c r="AO35" s="125">
        <f>SUM(AO28:AO34)</f>
        <v>857.7</v>
      </c>
      <c r="AP35" s="125">
        <f>F35</f>
        <v>972.19999999999993</v>
      </c>
      <c r="AQ35" s="125">
        <f>K35</f>
        <v>1113.6000000000001</v>
      </c>
      <c r="AR35" s="125">
        <f t="shared" si="8"/>
        <v>1262.2</v>
      </c>
      <c r="AS35" s="125">
        <f t="shared" si="9"/>
        <v>1810.7</v>
      </c>
      <c r="AT35" s="125">
        <f t="shared" si="10"/>
        <v>1886.2</v>
      </c>
      <c r="AU35" s="125">
        <f t="shared" si="6"/>
        <v>2001.1000000000001</v>
      </c>
      <c r="AV35" s="125">
        <f t="shared" ref="AV35:AV40" si="11">AJ35</f>
        <v>2314.1999999999998</v>
      </c>
    </row>
    <row r="36" spans="1:48" ht="14">
      <c r="A36" s="66" t="s">
        <v>38</v>
      </c>
      <c r="C36" s="67">
        <v>401.4</v>
      </c>
      <c r="D36" s="67">
        <v>411.1</v>
      </c>
      <c r="E36" s="67">
        <v>421.8</v>
      </c>
      <c r="F36" s="67">
        <v>429.2</v>
      </c>
      <c r="G36" s="83"/>
      <c r="H36" s="67">
        <v>455.8</v>
      </c>
      <c r="I36" s="67">
        <v>468.5</v>
      </c>
      <c r="J36" s="67">
        <v>478.5</v>
      </c>
      <c r="K36" s="67">
        <v>478.5</v>
      </c>
      <c r="L36" s="83"/>
      <c r="M36" s="67">
        <v>504.3</v>
      </c>
      <c r="N36" s="67">
        <v>518.20000000000005</v>
      </c>
      <c r="O36" s="67">
        <v>528.4</v>
      </c>
      <c r="P36" s="67">
        <v>532.70000000000005</v>
      </c>
      <c r="R36" s="67">
        <v>559.1</v>
      </c>
      <c r="S36" s="67">
        <v>584.29999999999995</v>
      </c>
      <c r="T36" s="67">
        <v>594.79999999999995</v>
      </c>
      <c r="U36" s="67">
        <v>596.79999999999995</v>
      </c>
      <c r="W36" s="67">
        <v>622.9</v>
      </c>
      <c r="X36" s="67">
        <v>628.70000000000005</v>
      </c>
      <c r="Y36" s="67">
        <v>629.79999999999995</v>
      </c>
      <c r="Z36" s="67">
        <v>623.79999999999995</v>
      </c>
      <c r="AB36" s="67">
        <v>648.1</v>
      </c>
      <c r="AC36" s="67">
        <v>652.4</v>
      </c>
      <c r="AD36" s="67">
        <v>656.2</v>
      </c>
      <c r="AE36" s="67">
        <v>654.4</v>
      </c>
      <c r="AG36" s="67">
        <v>685</v>
      </c>
      <c r="AH36" s="67">
        <v>697.5</v>
      </c>
      <c r="AI36" s="67">
        <v>715.7</v>
      </c>
      <c r="AJ36" s="67">
        <v>725.1</v>
      </c>
      <c r="AL36" s="67">
        <v>762.3</v>
      </c>
      <c r="AM36" s="67">
        <v>767</v>
      </c>
      <c r="AO36" s="67">
        <v>383.9</v>
      </c>
      <c r="AP36" s="67">
        <f>F36</f>
        <v>429.2</v>
      </c>
      <c r="AQ36" s="67">
        <f>K36</f>
        <v>478.5</v>
      </c>
      <c r="AR36" s="67">
        <f t="shared" si="8"/>
        <v>532.70000000000005</v>
      </c>
      <c r="AS36" s="67">
        <f t="shared" si="9"/>
        <v>596.79999999999995</v>
      </c>
      <c r="AT36" s="67">
        <f t="shared" si="10"/>
        <v>623.79999999999995</v>
      </c>
      <c r="AU36" s="67">
        <f t="shared" si="6"/>
        <v>654.4</v>
      </c>
      <c r="AV36" s="67">
        <f t="shared" si="11"/>
        <v>725.1</v>
      </c>
    </row>
    <row r="37" spans="1:48" ht="14">
      <c r="A37" s="66" t="s">
        <v>39</v>
      </c>
      <c r="C37" s="67">
        <v>1080.5</v>
      </c>
      <c r="D37" s="67">
        <v>1411.9</v>
      </c>
      <c r="E37" s="67">
        <v>1411.2</v>
      </c>
      <c r="F37" s="67">
        <v>1410.4</v>
      </c>
      <c r="G37" s="83"/>
      <c r="H37" s="67">
        <v>1409.8</v>
      </c>
      <c r="I37" s="67">
        <v>1041.7</v>
      </c>
      <c r="J37" s="67">
        <v>1040.8</v>
      </c>
      <c r="K37" s="67">
        <v>1039.8</v>
      </c>
      <c r="L37" s="83"/>
      <c r="M37" s="67">
        <v>1038.7</v>
      </c>
      <c r="N37" s="67">
        <v>1037.7</v>
      </c>
      <c r="O37" s="67">
        <v>1036.7</v>
      </c>
      <c r="P37" s="67">
        <v>1035.7</v>
      </c>
      <c r="R37" s="67">
        <v>1031.4000000000001</v>
      </c>
      <c r="S37" s="67">
        <v>2419.1</v>
      </c>
      <c r="T37" s="67">
        <v>2415.8000000000002</v>
      </c>
      <c r="U37" s="67">
        <v>2410.8000000000002</v>
      </c>
      <c r="W37" s="67">
        <v>2406.6</v>
      </c>
      <c r="X37" s="67">
        <v>2402.5</v>
      </c>
      <c r="Y37" s="67">
        <v>2398.4</v>
      </c>
      <c r="Z37" s="67">
        <v>2394.1999999999998</v>
      </c>
      <c r="AB37" s="67">
        <v>2390</v>
      </c>
      <c r="AC37" s="67">
        <v>2387.6999999999998</v>
      </c>
      <c r="AD37" s="67">
        <v>2383.1</v>
      </c>
      <c r="AE37" s="67">
        <v>2376.8000000000002</v>
      </c>
      <c r="AG37" s="67">
        <v>2372.3000000000002</v>
      </c>
      <c r="AH37" s="67">
        <v>2368</v>
      </c>
      <c r="AI37" s="67">
        <v>3097.4</v>
      </c>
      <c r="AJ37" s="67">
        <v>3090.1</v>
      </c>
      <c r="AL37" s="67">
        <v>3874.9</v>
      </c>
      <c r="AM37" s="67">
        <v>3869.3</v>
      </c>
      <c r="AO37" s="67">
        <v>1080</v>
      </c>
      <c r="AP37" s="67">
        <f>F37</f>
        <v>1410.4</v>
      </c>
      <c r="AQ37" s="67">
        <f>K37</f>
        <v>1039.8</v>
      </c>
      <c r="AR37" s="67">
        <f t="shared" si="8"/>
        <v>1035.7</v>
      </c>
      <c r="AS37" s="67">
        <f t="shared" si="9"/>
        <v>2410.8000000000002</v>
      </c>
      <c r="AT37" s="67">
        <f t="shared" si="10"/>
        <v>2394.1999999999998</v>
      </c>
      <c r="AU37" s="67">
        <f t="shared" si="6"/>
        <v>2376.8000000000002</v>
      </c>
      <c r="AV37" s="67">
        <f t="shared" si="11"/>
        <v>3090.1</v>
      </c>
    </row>
    <row r="38" spans="1:48" ht="14">
      <c r="A38" s="66" t="s">
        <v>203</v>
      </c>
      <c r="G38" s="83"/>
      <c r="L38" s="83"/>
      <c r="AB38" s="67">
        <v>118.9</v>
      </c>
      <c r="AC38" s="67">
        <v>134.30000000000001</v>
      </c>
      <c r="AD38" s="67">
        <v>184</v>
      </c>
      <c r="AE38" s="67">
        <v>192.9</v>
      </c>
      <c r="AG38" s="67">
        <v>189.4</v>
      </c>
      <c r="AH38" s="67">
        <v>181.4</v>
      </c>
      <c r="AI38" s="67">
        <v>173.7</v>
      </c>
      <c r="AJ38" s="67">
        <v>166.7</v>
      </c>
      <c r="AL38" s="67">
        <v>160</v>
      </c>
      <c r="AM38" s="67">
        <v>153.4</v>
      </c>
      <c r="AO38" s="67"/>
      <c r="AP38" s="67"/>
      <c r="AQ38" s="67"/>
      <c r="AR38" s="67"/>
      <c r="AS38" s="67"/>
      <c r="AT38" s="67"/>
      <c r="AU38" s="67">
        <f t="shared" si="6"/>
        <v>192.9</v>
      </c>
      <c r="AV38" s="67">
        <f t="shared" si="11"/>
        <v>166.7</v>
      </c>
    </row>
    <row r="39" spans="1:48" ht="13.5" customHeight="1">
      <c r="A39" s="66" t="s">
        <v>40</v>
      </c>
      <c r="C39" s="67">
        <v>0</v>
      </c>
      <c r="D39" s="67">
        <v>0</v>
      </c>
      <c r="E39" s="67">
        <v>0</v>
      </c>
      <c r="F39" s="67">
        <v>0</v>
      </c>
      <c r="G39" s="83"/>
      <c r="H39" s="67">
        <v>0</v>
      </c>
      <c r="I39" s="67">
        <v>167.9</v>
      </c>
      <c r="J39" s="67">
        <v>167.9</v>
      </c>
      <c r="K39" s="67">
        <v>151.6</v>
      </c>
      <c r="L39" s="83"/>
      <c r="M39" s="67">
        <v>152.6</v>
      </c>
      <c r="N39" s="67">
        <v>193.9</v>
      </c>
      <c r="O39" s="67">
        <v>199.5</v>
      </c>
      <c r="P39" s="67">
        <v>202.6</v>
      </c>
      <c r="R39" s="67">
        <v>197.6</v>
      </c>
      <c r="S39" s="67">
        <v>186.3</v>
      </c>
      <c r="T39" s="67">
        <v>220.1</v>
      </c>
      <c r="U39" s="67">
        <v>153</v>
      </c>
      <c r="W39" s="67">
        <v>167.6</v>
      </c>
      <c r="X39" s="67">
        <v>179.2</v>
      </c>
      <c r="Y39" s="67">
        <v>189.3</v>
      </c>
      <c r="Z39" s="67">
        <v>174.3</v>
      </c>
      <c r="AB39" s="67">
        <v>175.3</v>
      </c>
      <c r="AC39" s="67">
        <v>175.3</v>
      </c>
      <c r="AD39" s="67">
        <v>175.3</v>
      </c>
      <c r="AE39" s="67">
        <v>175.3</v>
      </c>
      <c r="AG39" s="67">
        <v>175.3</v>
      </c>
      <c r="AH39" s="67">
        <v>0</v>
      </c>
      <c r="AI39" s="67">
        <v>0</v>
      </c>
      <c r="AJ39" s="67">
        <v>0</v>
      </c>
      <c r="AL39" s="67">
        <v>0</v>
      </c>
      <c r="AO39" s="67"/>
      <c r="AP39" s="67">
        <f>F39</f>
        <v>0</v>
      </c>
      <c r="AQ39" s="67">
        <f>K39</f>
        <v>151.6</v>
      </c>
      <c r="AR39" s="67">
        <f>P39</f>
        <v>202.6</v>
      </c>
      <c r="AS39" s="67">
        <f>U39</f>
        <v>153</v>
      </c>
      <c r="AT39" s="67">
        <f>Z39</f>
        <v>174.3</v>
      </c>
      <c r="AU39" s="67">
        <f t="shared" si="6"/>
        <v>175.3</v>
      </c>
      <c r="AV39" s="67">
        <f t="shared" si="11"/>
        <v>0</v>
      </c>
    </row>
    <row r="40" spans="1:48" ht="14">
      <c r="A40" s="66" t="s">
        <v>41</v>
      </c>
      <c r="C40" s="67">
        <v>24.1</v>
      </c>
      <c r="D40" s="67">
        <v>25.9</v>
      </c>
      <c r="E40" s="67">
        <v>34.4</v>
      </c>
      <c r="F40" s="67">
        <v>38.5</v>
      </c>
      <c r="G40" s="83"/>
      <c r="H40" s="67">
        <v>38.299999999999997</v>
      </c>
      <c r="I40" s="67">
        <v>38.9</v>
      </c>
      <c r="J40" s="67">
        <v>35.799999999999997</v>
      </c>
      <c r="K40" s="67">
        <v>34.299999999999997</v>
      </c>
      <c r="L40" s="83"/>
      <c r="M40" s="67">
        <v>32.1</v>
      </c>
      <c r="N40" s="67">
        <v>33.9</v>
      </c>
      <c r="O40" s="67">
        <v>39.1</v>
      </c>
      <c r="P40" s="67">
        <v>39.5</v>
      </c>
      <c r="R40" s="67">
        <v>39.4</v>
      </c>
      <c r="S40" s="67">
        <f>180.6+64.5</f>
        <v>245.1</v>
      </c>
      <c r="T40" s="67">
        <f>172.6+72</f>
        <v>244.6</v>
      </c>
      <c r="U40" s="67">
        <f>145.5+75</f>
        <v>220.5</v>
      </c>
      <c r="W40" s="67">
        <f>147+78.1</f>
        <v>225.1</v>
      </c>
      <c r="X40" s="67">
        <f>52.6+136.5</f>
        <v>189.1</v>
      </c>
      <c r="Y40" s="67">
        <f>63.4+125.7</f>
        <v>189.1</v>
      </c>
      <c r="Z40" s="67">
        <f>117.2+63.2</f>
        <v>180.4</v>
      </c>
      <c r="AB40" s="67">
        <f>11.3+113.1</f>
        <v>124.39999999999999</v>
      </c>
      <c r="AC40" s="67">
        <f>14.9+107.5</f>
        <v>122.4</v>
      </c>
      <c r="AD40" s="67">
        <f>100.4+19.4</f>
        <v>119.80000000000001</v>
      </c>
      <c r="AE40" s="67">
        <f>17.7+100.9</f>
        <v>118.60000000000001</v>
      </c>
      <c r="AG40" s="67">
        <f>33.1+94</f>
        <v>127.1</v>
      </c>
      <c r="AH40" s="67">
        <f>38+89.4</f>
        <v>127.4</v>
      </c>
      <c r="AI40" s="67">
        <f>50.1+97</f>
        <v>147.1</v>
      </c>
      <c r="AJ40" s="67">
        <f>56.6+92</f>
        <v>148.6</v>
      </c>
      <c r="AL40" s="67">
        <f>55.5+82.6</f>
        <v>138.1</v>
      </c>
      <c r="AM40" s="67">
        <f>62.4+84.9</f>
        <v>147.30000000000001</v>
      </c>
      <c r="AO40" s="67">
        <f>10.3+5.7</f>
        <v>16</v>
      </c>
      <c r="AP40" s="67">
        <f>F40</f>
        <v>38.5</v>
      </c>
      <c r="AQ40" s="67">
        <f>K40</f>
        <v>34.299999999999997</v>
      </c>
      <c r="AR40" s="67">
        <f>P40</f>
        <v>39.5</v>
      </c>
      <c r="AS40" s="67">
        <f>U40</f>
        <v>220.5</v>
      </c>
      <c r="AT40" s="67">
        <f>Z40</f>
        <v>180.4</v>
      </c>
      <c r="AU40" s="67">
        <f>AE40</f>
        <v>118.60000000000001</v>
      </c>
      <c r="AV40" s="67">
        <f t="shared" si="11"/>
        <v>148.6</v>
      </c>
    </row>
    <row r="41" spans="1:48" ht="14">
      <c r="A41" s="66" t="s">
        <v>42</v>
      </c>
      <c r="G41" s="83"/>
      <c r="L41" s="83"/>
      <c r="AO41" s="67"/>
      <c r="AP41" s="67"/>
      <c r="AQ41" s="67"/>
      <c r="AR41" s="67"/>
      <c r="AS41" s="67"/>
      <c r="AT41" s="67"/>
      <c r="AU41" s="67"/>
      <c r="AV41" s="67"/>
    </row>
    <row r="42" spans="1:48" ht="14" hidden="1" outlineLevel="1">
      <c r="A42" s="66" t="s">
        <v>51</v>
      </c>
      <c r="C42" s="67">
        <v>79.099999999999994</v>
      </c>
      <c r="D42" s="67">
        <v>71.3</v>
      </c>
      <c r="E42" s="67">
        <v>75.2</v>
      </c>
      <c r="F42" s="67">
        <v>0</v>
      </c>
      <c r="G42" s="83"/>
      <c r="H42" s="67">
        <v>0</v>
      </c>
      <c r="I42" s="67">
        <v>0</v>
      </c>
      <c r="J42" s="67">
        <v>0</v>
      </c>
      <c r="K42" s="67">
        <v>0</v>
      </c>
      <c r="L42" s="83"/>
      <c r="M42" s="67">
        <v>0</v>
      </c>
      <c r="N42" s="67">
        <v>0</v>
      </c>
      <c r="O42" s="67">
        <v>0</v>
      </c>
      <c r="P42" s="67">
        <v>0</v>
      </c>
      <c r="R42" s="67">
        <v>0</v>
      </c>
      <c r="S42" s="67">
        <v>0</v>
      </c>
      <c r="T42" s="67">
        <v>0</v>
      </c>
      <c r="U42" s="67">
        <v>0</v>
      </c>
      <c r="W42" s="67">
        <v>0</v>
      </c>
      <c r="X42" s="67">
        <v>0</v>
      </c>
      <c r="Y42" s="67">
        <v>0</v>
      </c>
      <c r="Z42" s="67">
        <v>0</v>
      </c>
      <c r="AB42" s="67">
        <v>0</v>
      </c>
      <c r="AC42" s="67">
        <v>0</v>
      </c>
      <c r="AO42" s="67">
        <v>58.3</v>
      </c>
      <c r="AP42" s="67">
        <f>F42</f>
        <v>0</v>
      </c>
      <c r="AQ42" s="67">
        <f>K42</f>
        <v>0</v>
      </c>
      <c r="AR42" s="67">
        <f>P42</f>
        <v>0</v>
      </c>
      <c r="AS42" s="67">
        <f>U42</f>
        <v>0</v>
      </c>
      <c r="AT42" s="67">
        <f>Z42</f>
        <v>0</v>
      </c>
      <c r="AU42" s="67">
        <f t="shared" si="6"/>
        <v>0</v>
      </c>
      <c r="AV42" s="67"/>
    </row>
    <row r="43" spans="1:48" ht="14" collapsed="1">
      <c r="A43" s="66" t="s">
        <v>43</v>
      </c>
      <c r="G43" s="83"/>
      <c r="L43" s="83"/>
      <c r="AO43" s="67"/>
      <c r="AP43" s="67"/>
      <c r="AQ43" s="67"/>
      <c r="AR43" s="67"/>
      <c r="AS43" s="67"/>
      <c r="AT43" s="67"/>
      <c r="AU43" s="67"/>
      <c r="AV43" s="67"/>
    </row>
    <row r="44" spans="1:48" ht="14" hidden="1" outlineLevel="1">
      <c r="A44" s="97" t="s">
        <v>44</v>
      </c>
      <c r="C44" s="67">
        <v>749.4</v>
      </c>
      <c r="D44" s="67">
        <v>376.4</v>
      </c>
      <c r="E44" s="67">
        <v>354.4</v>
      </c>
      <c r="F44" s="67">
        <v>410.4</v>
      </c>
      <c r="G44" s="83"/>
      <c r="H44" s="67">
        <v>376.1</v>
      </c>
      <c r="I44" s="67">
        <v>0</v>
      </c>
      <c r="J44" s="67">
        <v>0</v>
      </c>
      <c r="K44" s="67">
        <v>0</v>
      </c>
      <c r="L44" s="83"/>
      <c r="M44" s="67">
        <v>0</v>
      </c>
      <c r="N44" s="67">
        <v>0</v>
      </c>
      <c r="O44" s="67">
        <v>0</v>
      </c>
      <c r="P44" s="67">
        <v>0</v>
      </c>
      <c r="R44" s="67">
        <v>0</v>
      </c>
      <c r="S44" s="67">
        <v>0</v>
      </c>
      <c r="T44" s="67">
        <v>0</v>
      </c>
      <c r="U44" s="67">
        <v>0</v>
      </c>
      <c r="W44" s="67">
        <v>0</v>
      </c>
      <c r="X44" s="67">
        <v>0</v>
      </c>
      <c r="Y44" s="67">
        <v>0</v>
      </c>
      <c r="Z44" s="67">
        <v>0</v>
      </c>
      <c r="AB44" s="67">
        <v>0</v>
      </c>
      <c r="AC44" s="67">
        <v>0</v>
      </c>
      <c r="AO44" s="67">
        <v>812.5</v>
      </c>
      <c r="AP44" s="67">
        <f t="shared" ref="AP44:AP54" si="12">F44</f>
        <v>410.4</v>
      </c>
      <c r="AQ44" s="67">
        <f t="shared" ref="AQ44:AQ54" si="13">K44</f>
        <v>0</v>
      </c>
      <c r="AR44" s="67">
        <f t="shared" ref="AR44:AR54" si="14">P44</f>
        <v>0</v>
      </c>
      <c r="AS44" s="67">
        <f t="shared" ref="AS44:AS54" si="15">U44</f>
        <v>0</v>
      </c>
      <c r="AT44" s="67">
        <f t="shared" ref="AT44:AT54" si="16">Z44</f>
        <v>0</v>
      </c>
      <c r="AU44" s="67">
        <f t="shared" si="6"/>
        <v>0</v>
      </c>
      <c r="AV44" s="67"/>
    </row>
    <row r="45" spans="1:48" ht="14" collapsed="1">
      <c r="A45" s="97" t="s">
        <v>52</v>
      </c>
      <c r="C45" s="67">
        <v>0</v>
      </c>
      <c r="D45" s="67">
        <v>0</v>
      </c>
      <c r="E45" s="67">
        <v>0</v>
      </c>
      <c r="F45" s="67">
        <v>0</v>
      </c>
      <c r="G45" s="83"/>
      <c r="H45" s="67">
        <v>0</v>
      </c>
      <c r="I45" s="67">
        <v>0</v>
      </c>
      <c r="J45" s="67">
        <v>0</v>
      </c>
      <c r="K45" s="67">
        <v>0</v>
      </c>
      <c r="L45" s="83"/>
      <c r="M45" s="67">
        <v>0</v>
      </c>
      <c r="N45" s="67">
        <v>0</v>
      </c>
      <c r="O45" s="67">
        <v>0</v>
      </c>
      <c r="P45" s="67">
        <v>0</v>
      </c>
      <c r="R45" s="67">
        <v>0</v>
      </c>
      <c r="S45" s="67">
        <v>0</v>
      </c>
      <c r="T45" s="67">
        <v>0</v>
      </c>
      <c r="U45" s="67">
        <v>0</v>
      </c>
      <c r="W45" s="67">
        <v>0</v>
      </c>
      <c r="X45" s="67">
        <v>0</v>
      </c>
      <c r="Y45" s="67">
        <v>0</v>
      </c>
      <c r="Z45" s="67">
        <v>0</v>
      </c>
      <c r="AB45" s="67">
        <v>0</v>
      </c>
      <c r="AC45" s="67">
        <v>0</v>
      </c>
      <c r="AD45" s="67">
        <v>0</v>
      </c>
      <c r="AE45" s="67">
        <v>0</v>
      </c>
      <c r="AG45" s="67">
        <v>0</v>
      </c>
      <c r="AH45" s="67">
        <v>0</v>
      </c>
      <c r="AI45" s="67">
        <v>0</v>
      </c>
      <c r="AJ45" s="67">
        <v>0</v>
      </c>
      <c r="AL45" s="67">
        <v>0</v>
      </c>
      <c r="AM45" s="67">
        <v>0</v>
      </c>
      <c r="AO45" s="67">
        <f t="shared" ref="AO45:AO50" si="17">E45</f>
        <v>0</v>
      </c>
      <c r="AP45" s="67">
        <f t="shared" si="12"/>
        <v>0</v>
      </c>
      <c r="AQ45" s="67">
        <f t="shared" si="13"/>
        <v>0</v>
      </c>
      <c r="AR45" s="67">
        <f t="shared" si="14"/>
        <v>0</v>
      </c>
      <c r="AS45" s="67">
        <f t="shared" si="15"/>
        <v>0</v>
      </c>
      <c r="AT45" s="67">
        <f t="shared" si="16"/>
        <v>0</v>
      </c>
      <c r="AU45" s="67">
        <f t="shared" si="6"/>
        <v>0</v>
      </c>
      <c r="AV45" s="67">
        <f t="shared" ref="AV45:AV54" si="18">AJ45</f>
        <v>0</v>
      </c>
    </row>
    <row r="46" spans="1:48" ht="14">
      <c r="A46" s="97" t="s">
        <v>53</v>
      </c>
      <c r="C46" s="67">
        <v>0</v>
      </c>
      <c r="D46" s="67">
        <v>0</v>
      </c>
      <c r="E46" s="67">
        <v>0</v>
      </c>
      <c r="F46" s="67">
        <v>0</v>
      </c>
      <c r="G46" s="83"/>
      <c r="H46" s="67">
        <v>0</v>
      </c>
      <c r="I46" s="67">
        <v>0.1</v>
      </c>
      <c r="J46" s="67">
        <v>0.1</v>
      </c>
      <c r="K46" s="67">
        <v>0.1</v>
      </c>
      <c r="L46" s="83"/>
      <c r="M46" s="67">
        <v>0.1</v>
      </c>
      <c r="N46" s="67">
        <v>0.1</v>
      </c>
      <c r="O46" s="67">
        <v>0.1</v>
      </c>
      <c r="P46" s="67">
        <v>0.1</v>
      </c>
      <c r="R46" s="67">
        <v>0.1</v>
      </c>
      <c r="S46" s="67">
        <v>0.1</v>
      </c>
      <c r="T46" s="67">
        <v>0.1</v>
      </c>
      <c r="U46" s="67">
        <v>0.1</v>
      </c>
      <c r="W46" s="67">
        <v>0.1</v>
      </c>
      <c r="X46" s="67">
        <v>0.2</v>
      </c>
      <c r="Y46" s="67">
        <v>0.2</v>
      </c>
      <c r="Z46" s="67">
        <v>0.2</v>
      </c>
      <c r="AB46" s="67">
        <v>0.2</v>
      </c>
      <c r="AC46" s="67">
        <v>0.2</v>
      </c>
      <c r="AD46" s="67">
        <v>0.2</v>
      </c>
      <c r="AE46" s="67">
        <v>0.2</v>
      </c>
      <c r="AG46" s="67">
        <v>0.2</v>
      </c>
      <c r="AH46" s="67">
        <v>0.2</v>
      </c>
      <c r="AI46" s="67">
        <v>0.2</v>
      </c>
      <c r="AJ46" s="67">
        <v>0.2</v>
      </c>
      <c r="AL46" s="67">
        <v>0.2</v>
      </c>
      <c r="AM46" s="67">
        <v>0.2</v>
      </c>
      <c r="AO46" s="67">
        <f t="shared" si="17"/>
        <v>0</v>
      </c>
      <c r="AP46" s="67">
        <f t="shared" si="12"/>
        <v>0</v>
      </c>
      <c r="AQ46" s="67">
        <f t="shared" si="13"/>
        <v>0.1</v>
      </c>
      <c r="AR46" s="67">
        <f t="shared" si="14"/>
        <v>0.1</v>
      </c>
      <c r="AS46" s="67">
        <f t="shared" si="15"/>
        <v>0.1</v>
      </c>
      <c r="AT46" s="67">
        <f t="shared" si="16"/>
        <v>0.2</v>
      </c>
      <c r="AU46" s="67">
        <f t="shared" si="6"/>
        <v>0.2</v>
      </c>
      <c r="AV46" s="67">
        <f t="shared" si="18"/>
        <v>0.2</v>
      </c>
    </row>
    <row r="47" spans="1:48" ht="14">
      <c r="A47" s="97" t="s">
        <v>54</v>
      </c>
      <c r="C47" s="67">
        <v>0</v>
      </c>
      <c r="D47" s="67">
        <v>0</v>
      </c>
      <c r="E47" s="67">
        <v>0</v>
      </c>
      <c r="F47" s="67">
        <v>0</v>
      </c>
      <c r="G47" s="83"/>
      <c r="H47" s="67">
        <v>0</v>
      </c>
      <c r="I47" s="67">
        <v>0.1</v>
      </c>
      <c r="J47" s="67">
        <v>0.1</v>
      </c>
      <c r="K47" s="67">
        <v>0.1</v>
      </c>
      <c r="L47" s="83"/>
      <c r="M47" s="67">
        <v>0.1</v>
      </c>
      <c r="N47" s="67">
        <v>0.1</v>
      </c>
      <c r="O47" s="67">
        <v>0.1</v>
      </c>
      <c r="P47" s="67">
        <v>0.1</v>
      </c>
      <c r="R47" s="67">
        <v>0.1</v>
      </c>
      <c r="S47" s="67">
        <v>0.1</v>
      </c>
      <c r="T47" s="67">
        <v>0</v>
      </c>
      <c r="U47" s="67">
        <v>0</v>
      </c>
      <c r="W47" s="67">
        <v>0</v>
      </c>
      <c r="X47" s="67">
        <v>0</v>
      </c>
      <c r="Y47" s="67">
        <v>0</v>
      </c>
      <c r="Z47" s="67">
        <v>0</v>
      </c>
      <c r="AB47" s="67">
        <v>0</v>
      </c>
      <c r="AC47" s="67">
        <v>0</v>
      </c>
      <c r="AD47" s="67">
        <v>0</v>
      </c>
      <c r="AE47" s="67">
        <v>0</v>
      </c>
      <c r="AG47" s="67">
        <v>0</v>
      </c>
      <c r="AH47" s="67">
        <v>0</v>
      </c>
      <c r="AI47" s="67">
        <v>0</v>
      </c>
      <c r="AJ47" s="67">
        <v>0</v>
      </c>
      <c r="AL47" s="67">
        <v>0</v>
      </c>
      <c r="AM47" s="67">
        <v>0</v>
      </c>
      <c r="AO47" s="67">
        <f t="shared" si="17"/>
        <v>0</v>
      </c>
      <c r="AP47" s="67">
        <f t="shared" si="12"/>
        <v>0</v>
      </c>
      <c r="AQ47" s="67">
        <f t="shared" si="13"/>
        <v>0.1</v>
      </c>
      <c r="AR47" s="67">
        <f t="shared" si="14"/>
        <v>0.1</v>
      </c>
      <c r="AS47" s="67">
        <f t="shared" si="15"/>
        <v>0</v>
      </c>
      <c r="AT47" s="67">
        <f t="shared" si="16"/>
        <v>0</v>
      </c>
      <c r="AU47" s="67">
        <f t="shared" si="6"/>
        <v>0</v>
      </c>
      <c r="AV47" s="67">
        <f t="shared" si="18"/>
        <v>0</v>
      </c>
    </row>
    <row r="48" spans="1:48" ht="14">
      <c r="A48" s="97" t="s">
        <v>45</v>
      </c>
      <c r="C48" s="67">
        <v>0</v>
      </c>
      <c r="D48" s="67">
        <v>0</v>
      </c>
      <c r="E48" s="67">
        <v>0</v>
      </c>
      <c r="F48" s="67">
        <v>0</v>
      </c>
      <c r="G48" s="83"/>
      <c r="H48" s="67">
        <v>0</v>
      </c>
      <c r="I48" s="67">
        <v>383.7</v>
      </c>
      <c r="J48" s="67">
        <v>395</v>
      </c>
      <c r="K48" s="67">
        <v>454.6</v>
      </c>
      <c r="L48" s="83"/>
      <c r="M48" s="67">
        <v>477.9</v>
      </c>
      <c r="N48" s="67">
        <v>489.7</v>
      </c>
      <c r="O48" s="67">
        <v>548</v>
      </c>
      <c r="P48" s="67">
        <v>608.29999999999995</v>
      </c>
      <c r="R48" s="67">
        <v>645.79999999999995</v>
      </c>
      <c r="S48" s="67">
        <v>435.3</v>
      </c>
      <c r="T48" s="67">
        <v>451.6</v>
      </c>
      <c r="U48" s="67">
        <v>484.4</v>
      </c>
      <c r="W48" s="67">
        <v>537.6</v>
      </c>
      <c r="X48" s="67">
        <v>590.1</v>
      </c>
      <c r="Y48" s="67">
        <v>639.20000000000005</v>
      </c>
      <c r="Z48" s="67">
        <v>699.8</v>
      </c>
      <c r="AB48" s="67">
        <v>815.5</v>
      </c>
      <c r="AC48" s="67">
        <v>894.1</v>
      </c>
      <c r="AD48" s="67">
        <v>921.2</v>
      </c>
      <c r="AE48" s="67">
        <v>1003.5</v>
      </c>
      <c r="AG48" s="67">
        <v>1066.9000000000001</v>
      </c>
      <c r="AH48" s="67">
        <v>1164.5</v>
      </c>
      <c r="AI48" s="67">
        <v>1228</v>
      </c>
      <c r="AJ48" s="67">
        <v>1308.8</v>
      </c>
      <c r="AL48" s="67">
        <v>1373.4</v>
      </c>
      <c r="AM48" s="67">
        <v>1458</v>
      </c>
      <c r="AO48" s="67">
        <f t="shared" si="17"/>
        <v>0</v>
      </c>
      <c r="AP48" s="67">
        <f t="shared" si="12"/>
        <v>0</v>
      </c>
      <c r="AQ48" s="67">
        <f t="shared" si="13"/>
        <v>454.6</v>
      </c>
      <c r="AR48" s="67">
        <f t="shared" si="14"/>
        <v>608.29999999999995</v>
      </c>
      <c r="AS48" s="67">
        <f t="shared" si="15"/>
        <v>484.4</v>
      </c>
      <c r="AT48" s="67">
        <f t="shared" si="16"/>
        <v>699.8</v>
      </c>
      <c r="AU48" s="67">
        <f t="shared" si="6"/>
        <v>1003.5</v>
      </c>
      <c r="AV48" s="67">
        <f t="shared" si="18"/>
        <v>1308.8</v>
      </c>
    </row>
    <row r="49" spans="1:48" ht="14">
      <c r="A49" s="97" t="s">
        <v>181</v>
      </c>
      <c r="C49" s="67">
        <v>0</v>
      </c>
      <c r="D49" s="67">
        <v>0</v>
      </c>
      <c r="E49" s="67">
        <v>0</v>
      </c>
      <c r="F49" s="67">
        <v>0</v>
      </c>
      <c r="G49" s="83"/>
      <c r="H49" s="67">
        <v>0</v>
      </c>
      <c r="I49" s="67">
        <v>-29.8</v>
      </c>
      <c r="J49" s="67">
        <v>-32.299999999999997</v>
      </c>
      <c r="K49" s="67">
        <v>-32.200000000000003</v>
      </c>
      <c r="L49" s="83"/>
      <c r="M49" s="67">
        <v>-42.7</v>
      </c>
      <c r="N49" s="67">
        <v>-51.6</v>
      </c>
      <c r="O49" s="67">
        <v>-46.8</v>
      </c>
      <c r="P49" s="67">
        <v>-48.7</v>
      </c>
      <c r="R49" s="67">
        <v>-48.1</v>
      </c>
      <c r="S49" s="67">
        <v>-27.3</v>
      </c>
      <c r="T49" s="67">
        <v>-4.9000000000000004</v>
      </c>
      <c r="U49" s="67">
        <v>87.7</v>
      </c>
      <c r="W49" s="67">
        <v>91</v>
      </c>
      <c r="X49" s="67">
        <v>109.1</v>
      </c>
      <c r="Y49" s="67">
        <v>122.3</v>
      </c>
      <c r="Z49" s="67">
        <v>164.8</v>
      </c>
      <c r="AB49" s="67">
        <v>181</v>
      </c>
      <c r="AC49" s="67">
        <v>168.4</v>
      </c>
      <c r="AD49" s="67">
        <v>-155</v>
      </c>
      <c r="AE49" s="67">
        <v>-153.5</v>
      </c>
      <c r="AG49" s="67">
        <v>-509.2</v>
      </c>
      <c r="AH49" s="67">
        <v>-1326.1</v>
      </c>
      <c r="AI49" s="67">
        <v>-1261.4000000000001</v>
      </c>
      <c r="AJ49" s="67">
        <v>-1190.9000000000001</v>
      </c>
      <c r="AL49" s="67">
        <v>-1375.2</v>
      </c>
      <c r="AM49" s="67">
        <v>-1409.2</v>
      </c>
      <c r="AO49" s="67">
        <f t="shared" si="17"/>
        <v>0</v>
      </c>
      <c r="AP49" s="67">
        <f t="shared" si="12"/>
        <v>0</v>
      </c>
      <c r="AQ49" s="67">
        <f t="shared" si="13"/>
        <v>-32.200000000000003</v>
      </c>
      <c r="AR49" s="67">
        <f t="shared" si="14"/>
        <v>-48.7</v>
      </c>
      <c r="AS49" s="67">
        <f t="shared" si="15"/>
        <v>87.7</v>
      </c>
      <c r="AT49" s="67">
        <f t="shared" si="16"/>
        <v>164.8</v>
      </c>
      <c r="AU49" s="67">
        <f t="shared" si="6"/>
        <v>-153.5</v>
      </c>
      <c r="AV49" s="67">
        <f t="shared" si="18"/>
        <v>-1190.9000000000001</v>
      </c>
    </row>
    <row r="50" spans="1:48" ht="14">
      <c r="A50" s="97" t="s">
        <v>197</v>
      </c>
      <c r="C50" s="67">
        <v>0</v>
      </c>
      <c r="D50" s="67">
        <v>0</v>
      </c>
      <c r="E50" s="67">
        <v>0</v>
      </c>
      <c r="F50" s="67">
        <v>0</v>
      </c>
      <c r="G50" s="83"/>
      <c r="H50" s="67">
        <v>0</v>
      </c>
      <c r="I50" s="67">
        <v>0</v>
      </c>
      <c r="J50" s="67">
        <v>0.9</v>
      </c>
      <c r="K50" s="67">
        <v>3.2</v>
      </c>
      <c r="L50" s="83"/>
      <c r="M50" s="67">
        <v>1.4</v>
      </c>
      <c r="N50" s="67">
        <v>2.9</v>
      </c>
      <c r="O50" s="67">
        <v>2.7</v>
      </c>
      <c r="P50" s="67">
        <v>2.7</v>
      </c>
      <c r="R50" s="67">
        <v>0.7</v>
      </c>
      <c r="S50" s="67">
        <v>-22.8</v>
      </c>
      <c r="T50" s="67">
        <v>-51.6</v>
      </c>
      <c r="U50" s="67">
        <v>-85.7</v>
      </c>
      <c r="W50" s="67">
        <v>-80.400000000000006</v>
      </c>
      <c r="X50" s="67">
        <v>-67.8</v>
      </c>
      <c r="Y50" s="67">
        <v>-66</v>
      </c>
      <c r="Z50" s="67">
        <v>-72.099999999999994</v>
      </c>
      <c r="AB50" s="67">
        <v>-86.3</v>
      </c>
      <c r="AC50" s="67">
        <v>-117.6</v>
      </c>
      <c r="AD50" s="67">
        <v>-98.5</v>
      </c>
      <c r="AE50" s="67">
        <v>-78.2</v>
      </c>
      <c r="AG50" s="67">
        <v>-77.2</v>
      </c>
      <c r="AH50" s="67">
        <v>-99.9</v>
      </c>
      <c r="AI50" s="67">
        <v>-131</v>
      </c>
      <c r="AJ50" s="67">
        <v>-131</v>
      </c>
      <c r="AL50" s="67">
        <v>-71.2</v>
      </c>
      <c r="AM50" s="95">
        <v>-82.3</v>
      </c>
      <c r="AO50" s="67">
        <f t="shared" si="17"/>
        <v>0</v>
      </c>
      <c r="AP50" s="67">
        <f t="shared" si="12"/>
        <v>0</v>
      </c>
      <c r="AQ50" s="67">
        <f t="shared" si="13"/>
        <v>3.2</v>
      </c>
      <c r="AR50" s="67">
        <f t="shared" si="14"/>
        <v>2.7</v>
      </c>
      <c r="AS50" s="67">
        <f t="shared" si="15"/>
        <v>-85.7</v>
      </c>
      <c r="AT50" s="67">
        <f t="shared" si="16"/>
        <v>-72.099999999999994</v>
      </c>
      <c r="AU50" s="67">
        <f t="shared" si="6"/>
        <v>-78.2</v>
      </c>
      <c r="AV50" s="67">
        <f t="shared" si="18"/>
        <v>-131</v>
      </c>
    </row>
    <row r="51" spans="1:48" ht="12" customHeight="1">
      <c r="A51" s="66" t="s">
        <v>46</v>
      </c>
      <c r="C51" s="113">
        <f>SUM(C44:C50)</f>
        <v>749.4</v>
      </c>
      <c r="D51" s="113">
        <f>SUM(D44:D50)</f>
        <v>376.4</v>
      </c>
      <c r="E51" s="113">
        <f>SUM(E44:E50)</f>
        <v>354.4</v>
      </c>
      <c r="F51" s="113">
        <f>SUM(F44:F50)</f>
        <v>410.4</v>
      </c>
      <c r="G51" s="83"/>
      <c r="H51" s="113">
        <f>SUM(H44:H50)</f>
        <v>376.1</v>
      </c>
      <c r="I51" s="113">
        <f>SUM(I44:I50)</f>
        <v>354.09999999999997</v>
      </c>
      <c r="J51" s="113">
        <f>SUM(J44:J50)</f>
        <v>363.79999999999995</v>
      </c>
      <c r="K51" s="113">
        <f>SUM(K44:K50)</f>
        <v>425.8</v>
      </c>
      <c r="L51" s="83"/>
      <c r="M51" s="113">
        <f>SUM(M44:M50)</f>
        <v>436.79999999999995</v>
      </c>
      <c r="N51" s="113">
        <f>SUM(N44:N50)</f>
        <v>441.19999999999993</v>
      </c>
      <c r="O51" s="113">
        <f>SUM(O44:O50)</f>
        <v>504.1</v>
      </c>
      <c r="P51" s="113">
        <f>SUM(P44:P50)</f>
        <v>562.5</v>
      </c>
      <c r="Q51" s="83"/>
      <c r="R51" s="113">
        <f>SUM(R44:R50)</f>
        <v>598.6</v>
      </c>
      <c r="S51" s="113">
        <f>SUM(S44:S50)</f>
        <v>385.4</v>
      </c>
      <c r="T51" s="113">
        <f>SUM(T44:T50)</f>
        <v>395.20000000000005</v>
      </c>
      <c r="U51" s="113">
        <f>SUM(U44:U50)</f>
        <v>486.50000000000006</v>
      </c>
      <c r="V51" s="83"/>
      <c r="W51" s="113">
        <f>SUM(W44:W50)</f>
        <v>548.30000000000007</v>
      </c>
      <c r="X51" s="113">
        <f>SUM(X44:X50)</f>
        <v>631.60000000000014</v>
      </c>
      <c r="Y51" s="113">
        <f>SUM(Y44:Y50)</f>
        <v>695.7</v>
      </c>
      <c r="Z51" s="125">
        <f>SUM(Z44:Z50)</f>
        <v>792.69999999999993</v>
      </c>
      <c r="AA51" s="83"/>
      <c r="AB51" s="125">
        <f>SUM(AB44:AB50)</f>
        <v>910.40000000000009</v>
      </c>
      <c r="AC51" s="125">
        <f>SUM(AC44:AC50)</f>
        <v>945.1</v>
      </c>
      <c r="AD51" s="125">
        <f>SUM(AD44:AD50)</f>
        <v>667.90000000000009</v>
      </c>
      <c r="AE51" s="125">
        <f>SUM(AE44:AE50)</f>
        <v>772</v>
      </c>
      <c r="AF51" s="126"/>
      <c r="AG51" s="125">
        <f>SUM(AG44:AG50)</f>
        <v>480.7000000000001</v>
      </c>
      <c r="AH51" s="125">
        <f>SUM(AH44:AH50)</f>
        <v>-261.29999999999984</v>
      </c>
      <c r="AI51" s="125">
        <f>SUM(AI44:AI50)</f>
        <v>-164.20000000000005</v>
      </c>
      <c r="AJ51" s="125">
        <f>SUM(AJ44:AJ50)</f>
        <v>-12.900000000000091</v>
      </c>
      <c r="AL51" s="125">
        <f>SUM(AL44:AL50)</f>
        <v>-72.799999999999912</v>
      </c>
      <c r="AM51" s="125">
        <f>SUM(AM44:AM50)</f>
        <v>-33.299999999999997</v>
      </c>
      <c r="AO51" s="113">
        <f>SUM(AO44:AO50)</f>
        <v>812.5</v>
      </c>
      <c r="AP51" s="113">
        <f t="shared" si="12"/>
        <v>410.4</v>
      </c>
      <c r="AQ51" s="113">
        <f t="shared" si="13"/>
        <v>425.8</v>
      </c>
      <c r="AR51" s="113">
        <f t="shared" si="14"/>
        <v>562.5</v>
      </c>
      <c r="AS51" s="113">
        <f t="shared" si="15"/>
        <v>486.50000000000006</v>
      </c>
      <c r="AT51" s="113">
        <f t="shared" si="16"/>
        <v>792.69999999999993</v>
      </c>
      <c r="AU51" s="113">
        <f t="shared" si="6"/>
        <v>772</v>
      </c>
      <c r="AV51" s="113">
        <f t="shared" si="18"/>
        <v>-12.900000000000091</v>
      </c>
    </row>
    <row r="52" spans="1:48" ht="14">
      <c r="A52" s="66" t="s">
        <v>47</v>
      </c>
      <c r="C52" s="67">
        <v>0</v>
      </c>
      <c r="D52" s="67">
        <v>0</v>
      </c>
      <c r="E52" s="67">
        <v>0</v>
      </c>
      <c r="F52" s="67">
        <v>0</v>
      </c>
      <c r="G52" s="83"/>
      <c r="H52" s="67">
        <v>0</v>
      </c>
      <c r="I52" s="67">
        <v>271.10000000000002</v>
      </c>
      <c r="J52" s="67">
        <v>267.39999999999998</v>
      </c>
      <c r="K52" s="67">
        <v>255.2</v>
      </c>
      <c r="L52" s="83"/>
      <c r="M52" s="67">
        <v>237.5</v>
      </c>
      <c r="N52" s="67">
        <v>212.7</v>
      </c>
      <c r="O52" s="67">
        <v>198.2</v>
      </c>
      <c r="P52" s="67">
        <v>151.69999999999999</v>
      </c>
      <c r="R52" s="67">
        <v>140.80000000000001</v>
      </c>
      <c r="S52" s="67">
        <v>109.6</v>
      </c>
      <c r="T52" s="67">
        <v>74</v>
      </c>
      <c r="U52" s="67">
        <v>60</v>
      </c>
      <c r="W52" s="67">
        <v>48</v>
      </c>
      <c r="X52" s="67">
        <v>42.7</v>
      </c>
      <c r="Y52" s="67">
        <v>34.1</v>
      </c>
      <c r="Z52" s="67">
        <v>31.8</v>
      </c>
      <c r="AB52" s="67">
        <v>13</v>
      </c>
      <c r="AC52" s="67">
        <v>11.6</v>
      </c>
      <c r="AD52" s="67">
        <v>12</v>
      </c>
      <c r="AE52" s="67">
        <v>10.1</v>
      </c>
      <c r="AG52" s="67">
        <v>8.4</v>
      </c>
      <c r="AH52" s="67">
        <v>6.8</v>
      </c>
      <c r="AI52" s="67">
        <v>0.4</v>
      </c>
      <c r="AJ52" s="67">
        <v>1.1000000000000001</v>
      </c>
      <c r="AL52" s="67">
        <v>1.8</v>
      </c>
      <c r="AM52" s="95">
        <v>1.9</v>
      </c>
      <c r="AO52" s="67">
        <v>0</v>
      </c>
      <c r="AP52" s="67">
        <f t="shared" si="12"/>
        <v>0</v>
      </c>
      <c r="AQ52" s="67">
        <f t="shared" si="13"/>
        <v>255.2</v>
      </c>
      <c r="AR52" s="67">
        <f t="shared" si="14"/>
        <v>151.69999999999999</v>
      </c>
      <c r="AS52" s="67">
        <f t="shared" si="15"/>
        <v>60</v>
      </c>
      <c r="AT52" s="67">
        <f t="shared" si="16"/>
        <v>31.8</v>
      </c>
      <c r="AU52" s="67">
        <f t="shared" si="6"/>
        <v>10.1</v>
      </c>
      <c r="AV52" s="67">
        <f t="shared" si="18"/>
        <v>1.1000000000000001</v>
      </c>
    </row>
    <row r="53" spans="1:48" s="104" customFormat="1" ht="14">
      <c r="A53" s="66" t="s">
        <v>48</v>
      </c>
      <c r="C53" s="125">
        <f>SUM(C51:C52)</f>
        <v>749.4</v>
      </c>
      <c r="D53" s="125">
        <f>SUM(D51:D52)</f>
        <v>376.4</v>
      </c>
      <c r="E53" s="125">
        <f>SUM(E51:E52)</f>
        <v>354.4</v>
      </c>
      <c r="F53" s="125">
        <f>SUM(F51:F52)</f>
        <v>410.4</v>
      </c>
      <c r="G53" s="126"/>
      <c r="H53" s="125">
        <f>SUM(H51:H52)</f>
        <v>376.1</v>
      </c>
      <c r="I53" s="125">
        <f>SUM(I51:I52)</f>
        <v>625.20000000000005</v>
      </c>
      <c r="J53" s="125">
        <f>SUM(J51:J52)</f>
        <v>631.19999999999993</v>
      </c>
      <c r="K53" s="125">
        <f>SUM(K51:K52)</f>
        <v>681</v>
      </c>
      <c r="L53" s="126"/>
      <c r="M53" s="125">
        <f>SUM(M51:M52)</f>
        <v>674.3</v>
      </c>
      <c r="N53" s="125">
        <f>SUM(N51:N52)</f>
        <v>653.89999999999986</v>
      </c>
      <c r="O53" s="125">
        <f>SUM(O51:O52)</f>
        <v>702.3</v>
      </c>
      <c r="P53" s="125">
        <f>SUM(P51:P52)</f>
        <v>714.2</v>
      </c>
      <c r="Q53" s="126"/>
      <c r="R53" s="125">
        <f>SUM(R51:R52)</f>
        <v>739.40000000000009</v>
      </c>
      <c r="S53" s="125">
        <f>SUM(S51:S52)</f>
        <v>495</v>
      </c>
      <c r="T53" s="125">
        <f>SUM(T51:T52)</f>
        <v>469.20000000000005</v>
      </c>
      <c r="U53" s="125">
        <f>SUM(U51:U52)</f>
        <v>546.5</v>
      </c>
      <c r="V53" s="126"/>
      <c r="W53" s="125">
        <f>SUM(W51:W52)</f>
        <v>596.30000000000007</v>
      </c>
      <c r="X53" s="125">
        <f>SUM(X51:X52)</f>
        <v>674.30000000000018</v>
      </c>
      <c r="Y53" s="125">
        <f>SUM(Y51:Y52)</f>
        <v>729.80000000000007</v>
      </c>
      <c r="Z53" s="125">
        <f>SUM(Z51:Z52)</f>
        <v>824.49999999999989</v>
      </c>
      <c r="AA53" s="126"/>
      <c r="AB53" s="125">
        <f>SUM(AB51:AB52)</f>
        <v>923.40000000000009</v>
      </c>
      <c r="AC53" s="125">
        <f>SUM(AC51:AC52)</f>
        <v>956.7</v>
      </c>
      <c r="AD53" s="125">
        <f>SUM(AD51:AD52)</f>
        <v>679.90000000000009</v>
      </c>
      <c r="AE53" s="125">
        <f>SUM(AE51:AE52)</f>
        <v>782.1</v>
      </c>
      <c r="AF53" s="126"/>
      <c r="AG53" s="125">
        <f>SUM(AG51:AG52)</f>
        <v>489.10000000000008</v>
      </c>
      <c r="AH53" s="125">
        <f>SUM(AH51:AH52)</f>
        <v>-254.49999999999983</v>
      </c>
      <c r="AI53" s="125">
        <f>SUM(AI51:AI52)</f>
        <v>-163.80000000000004</v>
      </c>
      <c r="AJ53" s="125">
        <f>SUM(AJ51:AJ52)</f>
        <v>-11.800000000000091</v>
      </c>
      <c r="AL53" s="125">
        <f>SUM(AL51:AL52)</f>
        <v>-70.999999999999915</v>
      </c>
      <c r="AM53" s="125">
        <f>SUM(AM51:AM52)</f>
        <v>-31.4</v>
      </c>
      <c r="AO53" s="125">
        <f>SUM(AO51:AO52)</f>
        <v>812.5</v>
      </c>
      <c r="AP53" s="125">
        <f t="shared" si="12"/>
        <v>410.4</v>
      </c>
      <c r="AQ53" s="125">
        <f t="shared" si="13"/>
        <v>681</v>
      </c>
      <c r="AR53" s="125">
        <f t="shared" si="14"/>
        <v>714.2</v>
      </c>
      <c r="AS53" s="125">
        <f t="shared" si="15"/>
        <v>546.5</v>
      </c>
      <c r="AT53" s="125">
        <f t="shared" si="16"/>
        <v>824.49999999999989</v>
      </c>
      <c r="AU53" s="125">
        <f t="shared" si="6"/>
        <v>782.1</v>
      </c>
      <c r="AV53" s="125">
        <f t="shared" si="18"/>
        <v>-11.800000000000091</v>
      </c>
    </row>
    <row r="54" spans="1:48" s="104" customFormat="1" ht="15" thickBot="1">
      <c r="A54" s="66" t="s">
        <v>49</v>
      </c>
      <c r="C54" s="127">
        <f>C53+SUM(C35:C42)</f>
        <v>3240.5</v>
      </c>
      <c r="D54" s="127">
        <f>D53+SUM(D35:D42)</f>
        <v>3266.1000000000004</v>
      </c>
      <c r="E54" s="127">
        <f>E53+SUM(E35:E42)</f>
        <v>3283.3</v>
      </c>
      <c r="F54" s="127">
        <f>F53+SUM(F35:F42)</f>
        <v>3260.7000000000003</v>
      </c>
      <c r="G54" s="128"/>
      <c r="H54" s="127">
        <f>H53+SUM(H35:H42)</f>
        <v>3325.4999999999995</v>
      </c>
      <c r="I54" s="127">
        <f>I53+SUM(I35:I42)</f>
        <v>3437</v>
      </c>
      <c r="J54" s="127">
        <f>J53+SUM(J35:J42)</f>
        <v>3467.2000000000003</v>
      </c>
      <c r="K54" s="127">
        <f>K53+SUM(K35:K42)</f>
        <v>3498.8</v>
      </c>
      <c r="L54" s="128"/>
      <c r="M54" s="127">
        <f>M53+SUM(M35:M42)</f>
        <v>3596.8</v>
      </c>
      <c r="N54" s="127">
        <f>N53+SUM(N35:N42)</f>
        <v>3670.7</v>
      </c>
      <c r="O54" s="127">
        <f>O53+SUM(O35:O42)</f>
        <v>3741.2</v>
      </c>
      <c r="P54" s="127">
        <f>P53+SUM(P35:P42)</f>
        <v>3786.9000000000005</v>
      </c>
      <c r="Q54" s="128"/>
      <c r="R54" s="127">
        <f>R53+SUM(R35:R42)</f>
        <v>3889.9</v>
      </c>
      <c r="S54" s="127">
        <f>S53+SUM(S35:S42)</f>
        <v>6253.9000000000005</v>
      </c>
      <c r="T54" s="127">
        <f>T53+SUM(T35:T42)</f>
        <v>5695.0000000000009</v>
      </c>
      <c r="U54" s="127">
        <f>U53+SUM(U35:U42)</f>
        <v>5738.3</v>
      </c>
      <c r="V54" s="128"/>
      <c r="W54" s="127">
        <f>W53+SUM(W35:W42)</f>
        <v>5931.0000000000009</v>
      </c>
      <c r="X54" s="127">
        <f>X53+SUM(X35:X42)</f>
        <v>5927.9000000000005</v>
      </c>
      <c r="Y54" s="127">
        <f>Y53+SUM(Y35:Y42)</f>
        <v>6037.3000000000011</v>
      </c>
      <c r="Z54" s="127">
        <f>Z53+SUM(Z35:Z42)</f>
        <v>6083.4</v>
      </c>
      <c r="AA54" s="128"/>
      <c r="AB54" s="127">
        <f>AB53+SUM(AB35:AB42)</f>
        <v>6350.6</v>
      </c>
      <c r="AC54" s="127">
        <f>AC53+SUM(AC35:AC42)</f>
        <v>6448.9</v>
      </c>
      <c r="AD54" s="127">
        <f>AD53+SUM(AD35:AD42)</f>
        <v>6167.6</v>
      </c>
      <c r="AE54" s="127">
        <f>AE53+SUM(AE35:AE42)</f>
        <v>6301.2000000000007</v>
      </c>
      <c r="AF54" s="128"/>
      <c r="AG54" s="127">
        <f>AG53+SUM(AG35:AG42)</f>
        <v>6162.2000000000007</v>
      </c>
      <c r="AH54" s="127">
        <f>AH53+SUM(AH35:AH42)</f>
        <v>6092.0999999999985</v>
      </c>
      <c r="AI54" s="127">
        <f>AI53+SUM(AI35:AI42)</f>
        <v>6207.7999999999993</v>
      </c>
      <c r="AJ54" s="127">
        <f>AJ53+SUM(AJ35:AJ42)</f>
        <v>6432.9</v>
      </c>
      <c r="AK54" s="129"/>
      <c r="AL54" s="127">
        <f>AL53+SUM(AL35:AL42)</f>
        <v>7259.3000000000011</v>
      </c>
      <c r="AM54" s="219">
        <f>AM53+SUM(AM35:AM42)</f>
        <v>7362.1</v>
      </c>
      <c r="AN54" s="129"/>
      <c r="AO54" s="127">
        <f>AO53+SUM(AO35:AO42)</f>
        <v>3208.4</v>
      </c>
      <c r="AP54" s="127">
        <f t="shared" si="12"/>
        <v>3260.7000000000003</v>
      </c>
      <c r="AQ54" s="127">
        <f t="shared" si="13"/>
        <v>3498.8</v>
      </c>
      <c r="AR54" s="127">
        <f t="shared" si="14"/>
        <v>3786.9000000000005</v>
      </c>
      <c r="AS54" s="127">
        <f t="shared" si="15"/>
        <v>5738.3</v>
      </c>
      <c r="AT54" s="127">
        <f t="shared" si="16"/>
        <v>6083.4</v>
      </c>
      <c r="AU54" s="127">
        <f t="shared" si="6"/>
        <v>6301.2000000000007</v>
      </c>
      <c r="AV54" s="127">
        <f t="shared" si="18"/>
        <v>6432.9</v>
      </c>
    </row>
    <row r="55" spans="1:48" ht="14" thickTop="1">
      <c r="G55" s="83"/>
      <c r="L55" s="83"/>
      <c r="M55" s="83"/>
      <c r="N55" s="83"/>
      <c r="AK55" s="67"/>
      <c r="AN55" s="67"/>
      <c r="AO55" s="67"/>
      <c r="AP55" s="67"/>
      <c r="AQ55" s="67"/>
      <c r="AR55" s="67"/>
      <c r="AS55" s="67"/>
      <c r="AT55" s="67"/>
      <c r="AU55" s="67"/>
      <c r="AV55" s="67"/>
    </row>
  </sheetData>
  <mergeCells count="7">
    <mergeCell ref="AO7:AV7"/>
    <mergeCell ref="AO6:AV6"/>
    <mergeCell ref="C6:AM6"/>
    <mergeCell ref="C7:AM7"/>
    <mergeCell ref="B2:AN2"/>
    <mergeCell ref="C3:AM3"/>
    <mergeCell ref="C4:AM4"/>
  </mergeCells>
  <pageMargins left="0.7" right="0.7" top="0.75" bottom="0.75" header="0.3" footer="0.3"/>
  <pageSetup scale="47" orientation="landscape"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X70"/>
  <sheetViews>
    <sheetView showGridLines="0"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2"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6" width="11.59765625" style="72" hidden="1" customWidth="1" outlineLevel="1"/>
    <col min="17" max="17" width="1.59765625" style="72" customWidth="1" collapsed="1"/>
    <col min="18" max="21" width="11.796875" style="72" hidden="1" customWidth="1" outlineLevel="1"/>
    <col min="22" max="22" width="1.59765625" style="72" customWidth="1" collapsed="1"/>
    <col min="23" max="26" width="11.796875" style="72" hidden="1" customWidth="1" outlineLevel="1"/>
    <col min="27" max="27" width="1.59765625" style="72" customWidth="1" collapsed="1"/>
    <col min="28" max="31" width="11.796875" style="72" hidden="1" customWidth="1" outlineLevel="1"/>
    <col min="32" max="32" width="2.19921875" style="72" customWidth="1" collapsed="1"/>
    <col min="33" max="36" width="11.796875" style="72" customWidth="1"/>
    <col min="37" max="37" width="2.19921875" style="72" customWidth="1"/>
    <col min="38" max="39" width="11.796875" style="72" customWidth="1"/>
    <col min="40" max="40" width="2.19921875" style="72" customWidth="1"/>
    <col min="41" max="43" width="11.59765625" style="72" hidden="1" customWidth="1" outlineLevel="1"/>
    <col min="44" max="44" width="11.796875" style="72" hidden="1" customWidth="1" outlineLevel="1"/>
    <col min="45" max="46" width="11.796875" style="72" hidden="1" customWidth="1" outlineLevel="1" collapsed="1"/>
    <col min="47" max="47" width="11.796875" style="72" customWidth="1" collapsed="1"/>
    <col min="48" max="48" width="11.796875" style="72" customWidth="1"/>
    <col min="49" max="16384" width="9" style="72"/>
  </cols>
  <sheetData>
    <row r="2" spans="1:50">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row>
    <row r="3" spans="1:50" ht="18">
      <c r="C3" s="225" t="s">
        <v>100</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68"/>
      <c r="AO3" s="68"/>
      <c r="AP3" s="68"/>
      <c r="AQ3" s="68"/>
      <c r="AR3" s="68"/>
      <c r="AS3" s="68"/>
      <c r="AT3" s="70"/>
      <c r="AU3" s="70"/>
      <c r="AV3" s="70"/>
    </row>
    <row r="4" spans="1:50">
      <c r="C4" s="227" t="s">
        <v>110</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160"/>
      <c r="AO4" s="160"/>
      <c r="AP4" s="160"/>
      <c r="AQ4" s="160"/>
      <c r="AR4" s="160"/>
      <c r="AS4" s="160"/>
      <c r="AT4" s="66"/>
      <c r="AU4" s="66"/>
      <c r="AV4" s="66"/>
    </row>
    <row r="5" spans="1:50">
      <c r="A5" s="71"/>
      <c r="B5" s="71"/>
      <c r="C5" s="71"/>
      <c r="D5" s="71"/>
      <c r="E5" s="71"/>
      <c r="F5" s="71"/>
      <c r="G5" s="71"/>
      <c r="H5" s="71"/>
      <c r="I5" s="71"/>
      <c r="J5" s="71"/>
      <c r="K5" s="71"/>
      <c r="L5" s="119"/>
      <c r="M5" s="119"/>
      <c r="N5" s="123"/>
      <c r="O5" s="103"/>
      <c r="P5" s="144"/>
      <c r="Q5" s="161"/>
      <c r="R5" s="161"/>
      <c r="S5" s="170"/>
      <c r="T5" s="163"/>
      <c r="U5" s="172"/>
      <c r="V5" s="176"/>
      <c r="W5" s="176"/>
      <c r="X5" s="180"/>
      <c r="Y5" s="183"/>
      <c r="Z5" s="182"/>
      <c r="AA5" s="186"/>
      <c r="AB5" s="188"/>
      <c r="AC5" s="190"/>
      <c r="AD5" s="190"/>
      <c r="AE5" s="191"/>
      <c r="AF5" s="193"/>
      <c r="AG5" s="193"/>
      <c r="AH5" s="195"/>
      <c r="AI5" s="198"/>
      <c r="AJ5" s="200"/>
      <c r="AK5" s="71"/>
      <c r="AL5" s="206"/>
      <c r="AM5" s="207"/>
      <c r="AN5" s="206"/>
      <c r="AO5" s="71"/>
      <c r="AP5" s="71"/>
      <c r="AQ5" s="71"/>
      <c r="AR5" s="144"/>
      <c r="AS5" s="172"/>
      <c r="AT5" s="71"/>
      <c r="AU5" s="191"/>
      <c r="AV5" s="200"/>
    </row>
    <row r="6" spans="1:50">
      <c r="C6" s="221" t="s">
        <v>106</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3"/>
      <c r="AN6" s="206"/>
      <c r="AO6" s="221" t="s">
        <v>107</v>
      </c>
      <c r="AP6" s="222"/>
      <c r="AQ6" s="222"/>
      <c r="AR6" s="222"/>
      <c r="AS6" s="222"/>
      <c r="AT6" s="222"/>
      <c r="AU6" s="222"/>
      <c r="AV6" s="223"/>
    </row>
    <row r="7" spans="1:50" ht="13" customHeight="1">
      <c r="C7" s="224" t="s">
        <v>113</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90"/>
      <c r="AO7" s="224" t="s">
        <v>114</v>
      </c>
      <c r="AP7" s="224"/>
      <c r="AQ7" s="224"/>
      <c r="AR7" s="224"/>
      <c r="AS7" s="224"/>
      <c r="AT7" s="224"/>
      <c r="AU7" s="224"/>
      <c r="AV7" s="224"/>
    </row>
    <row r="8" spans="1:50">
      <c r="C8" s="91" t="s">
        <v>20</v>
      </c>
      <c r="D8" s="91" t="s">
        <v>21</v>
      </c>
      <c r="E8" s="91" t="s">
        <v>22</v>
      </c>
      <c r="F8" s="91" t="s">
        <v>23</v>
      </c>
      <c r="G8" s="91"/>
      <c r="H8" s="91" t="s">
        <v>25</v>
      </c>
      <c r="I8" s="91" t="s">
        <v>26</v>
      </c>
      <c r="J8" s="91" t="s">
        <v>50</v>
      </c>
      <c r="K8" s="91" t="s">
        <v>105</v>
      </c>
      <c r="L8" s="91"/>
      <c r="M8" s="91" t="s">
        <v>134</v>
      </c>
      <c r="N8" s="91" t="s">
        <v>138</v>
      </c>
      <c r="O8" s="91" t="s">
        <v>140</v>
      </c>
      <c r="P8" s="91" t="s">
        <v>148</v>
      </c>
      <c r="Q8" s="114"/>
      <c r="R8" s="91" t="s">
        <v>156</v>
      </c>
      <c r="S8" s="91" t="s">
        <v>158</v>
      </c>
      <c r="T8" s="91" t="s">
        <v>176</v>
      </c>
      <c r="U8" s="91" t="s">
        <v>179</v>
      </c>
      <c r="V8" s="114"/>
      <c r="W8" s="91" t="s">
        <v>183</v>
      </c>
      <c r="X8" s="91" t="s">
        <v>192</v>
      </c>
      <c r="Y8" s="91" t="s">
        <v>193</v>
      </c>
      <c r="Z8" s="91" t="s">
        <v>195</v>
      </c>
      <c r="AA8" s="114"/>
      <c r="AB8" s="91" t="s">
        <v>201</v>
      </c>
      <c r="AC8" s="91" t="s">
        <v>204</v>
      </c>
      <c r="AD8" s="91" t="s">
        <v>206</v>
      </c>
      <c r="AE8" s="91" t="s">
        <v>209</v>
      </c>
      <c r="AF8" s="114"/>
      <c r="AG8" s="91" t="s">
        <v>217</v>
      </c>
      <c r="AH8" s="91" t="s">
        <v>219</v>
      </c>
      <c r="AI8" s="91" t="s">
        <v>222</v>
      </c>
      <c r="AJ8" s="91" t="s">
        <v>225</v>
      </c>
      <c r="AK8" s="71"/>
      <c r="AL8" s="91" t="s">
        <v>227</v>
      </c>
      <c r="AM8" s="210" t="s">
        <v>230</v>
      </c>
      <c r="AN8" s="206"/>
      <c r="AO8" s="91" t="s">
        <v>19</v>
      </c>
      <c r="AP8" s="91" t="s">
        <v>24</v>
      </c>
      <c r="AQ8" s="91" t="s">
        <v>108</v>
      </c>
      <c r="AR8" s="91" t="s">
        <v>149</v>
      </c>
      <c r="AS8" s="91" t="s">
        <v>180</v>
      </c>
      <c r="AT8" s="91" t="s">
        <v>196</v>
      </c>
      <c r="AU8" s="91" t="s">
        <v>208</v>
      </c>
      <c r="AV8" s="91" t="s">
        <v>224</v>
      </c>
    </row>
    <row r="9" spans="1:50">
      <c r="AK9" s="71"/>
      <c r="AN9" s="206"/>
    </row>
    <row r="10" spans="1:50">
      <c r="AK10" s="177"/>
      <c r="AN10" s="206"/>
    </row>
    <row r="11" spans="1:50">
      <c r="A11" s="72" t="s">
        <v>55</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177"/>
      <c r="AL11" s="67"/>
      <c r="AM11" s="67"/>
      <c r="AN11" s="206"/>
      <c r="AO11" s="67"/>
      <c r="AP11" s="67"/>
      <c r="AQ11" s="67"/>
      <c r="AR11" s="67"/>
      <c r="AS11" s="67"/>
      <c r="AT11" s="67"/>
      <c r="AU11" s="67"/>
      <c r="AV11" s="67"/>
    </row>
    <row r="12" spans="1:50">
      <c r="A12" s="167" t="s">
        <v>56</v>
      </c>
      <c r="C12" s="93">
        <v>180.5</v>
      </c>
      <c r="D12" s="93">
        <v>189</v>
      </c>
      <c r="E12" s="93">
        <v>194.6</v>
      </c>
      <c r="F12" s="93">
        <f>AP12-C12-D12-E12</f>
        <v>199.19999999999996</v>
      </c>
      <c r="G12" s="94"/>
      <c r="H12" s="93">
        <v>199.2</v>
      </c>
      <c r="I12" s="93">
        <v>208.5</v>
      </c>
      <c r="J12" s="93">
        <v>215</v>
      </c>
      <c r="K12" s="93">
        <v>218.1</v>
      </c>
      <c r="L12" s="93"/>
      <c r="M12" s="93">
        <v>218.9</v>
      </c>
      <c r="N12" s="93">
        <v>229.8</v>
      </c>
      <c r="O12" s="93">
        <v>236.6</v>
      </c>
      <c r="P12" s="93">
        <v>242.5</v>
      </c>
      <c r="Q12" s="93"/>
      <c r="R12" s="93">
        <v>240.8</v>
      </c>
      <c r="S12" s="93">
        <v>263.3</v>
      </c>
      <c r="T12" s="93">
        <v>271.5</v>
      </c>
      <c r="U12" s="93">
        <v>281.60000000000002</v>
      </c>
      <c r="V12" s="93"/>
      <c r="W12" s="93">
        <v>291.7</v>
      </c>
      <c r="X12" s="93">
        <v>304.8</v>
      </c>
      <c r="Y12" s="93">
        <v>309.5</v>
      </c>
      <c r="Z12" s="93">
        <v>314.3</v>
      </c>
      <c r="AA12" s="93"/>
      <c r="AB12" s="93">
        <v>319.60000000000002</v>
      </c>
      <c r="AC12" s="93">
        <v>334.4</v>
      </c>
      <c r="AD12" s="93">
        <v>345.3</v>
      </c>
      <c r="AE12" s="93">
        <v>352.3</v>
      </c>
      <c r="AF12" s="93"/>
      <c r="AG12" s="93">
        <v>355.9</v>
      </c>
      <c r="AH12" s="93">
        <v>369.6</v>
      </c>
      <c r="AI12" s="93">
        <v>387.4</v>
      </c>
      <c r="AJ12" s="93">
        <v>402.2</v>
      </c>
      <c r="AK12" s="106"/>
      <c r="AL12" s="93">
        <v>422.7</v>
      </c>
      <c r="AM12" s="93">
        <v>436.7</v>
      </c>
      <c r="AN12" s="106"/>
      <c r="AO12" s="93">
        <v>671.6</v>
      </c>
      <c r="AP12" s="93">
        <v>763.3</v>
      </c>
      <c r="AQ12" s="93">
        <f>SUM(H12:K12)</f>
        <v>840.80000000000007</v>
      </c>
      <c r="AR12" s="93">
        <f>SUM(M12:P12)</f>
        <v>927.80000000000007</v>
      </c>
      <c r="AS12" s="93">
        <f t="shared" ref="AS12:AS21" si="0">SUM(R12:U12)</f>
        <v>1057.2</v>
      </c>
      <c r="AT12" s="93">
        <f>SUM(W12:Z12)</f>
        <v>1220.3</v>
      </c>
      <c r="AU12" s="93">
        <f>SUM(AB12:AE12)</f>
        <v>1351.6</v>
      </c>
      <c r="AV12" s="93">
        <f>SUM(AG12:AJ12)</f>
        <v>1515.1000000000001</v>
      </c>
      <c r="AW12" s="75"/>
      <c r="AX12" s="73"/>
    </row>
    <row r="13" spans="1:50">
      <c r="A13" s="167" t="s">
        <v>57</v>
      </c>
      <c r="C13" s="67">
        <v>115.6</v>
      </c>
      <c r="D13" s="67">
        <v>122.8</v>
      </c>
      <c r="E13" s="67">
        <v>131.5</v>
      </c>
      <c r="F13" s="67">
        <f>AP13-C13-D13-E13</f>
        <v>137.99999999999994</v>
      </c>
      <c r="G13" s="83"/>
      <c r="H13" s="67">
        <v>140.19999999999999</v>
      </c>
      <c r="I13" s="67">
        <v>145.5</v>
      </c>
      <c r="J13" s="67">
        <v>150.80000000000001</v>
      </c>
      <c r="K13" s="67">
        <v>155.5</v>
      </c>
      <c r="L13" s="67"/>
      <c r="M13" s="67">
        <v>160.4</v>
      </c>
      <c r="N13" s="67">
        <v>167.5</v>
      </c>
      <c r="O13" s="67">
        <v>174.1</v>
      </c>
      <c r="P13" s="67">
        <v>176.7</v>
      </c>
      <c r="Q13" s="67"/>
      <c r="R13" s="67">
        <v>178.3</v>
      </c>
      <c r="S13" s="67">
        <v>214.9</v>
      </c>
      <c r="T13" s="67">
        <v>225.9</v>
      </c>
      <c r="U13" s="67">
        <v>228.8</v>
      </c>
      <c r="V13" s="67"/>
      <c r="W13" s="67">
        <v>239.8</v>
      </c>
      <c r="X13" s="67">
        <v>244.6</v>
      </c>
      <c r="Y13" s="67">
        <v>263.2</v>
      </c>
      <c r="Z13" s="67">
        <v>270</v>
      </c>
      <c r="AA13" s="67"/>
      <c r="AB13" s="67">
        <v>268.89999999999998</v>
      </c>
      <c r="AC13" s="67">
        <v>279.8</v>
      </c>
      <c r="AD13" s="67">
        <v>285</v>
      </c>
      <c r="AE13" s="67">
        <v>292.8</v>
      </c>
      <c r="AF13" s="67"/>
      <c r="AG13" s="67">
        <v>297.2</v>
      </c>
      <c r="AH13" s="67">
        <v>292.2</v>
      </c>
      <c r="AI13" s="67">
        <v>302.39999999999998</v>
      </c>
      <c r="AJ13" s="67">
        <v>308.8</v>
      </c>
      <c r="AK13" s="106"/>
      <c r="AL13" s="67">
        <v>310.3</v>
      </c>
      <c r="AM13" s="67">
        <v>318.5</v>
      </c>
      <c r="AN13" s="106"/>
      <c r="AO13" s="67">
        <v>380.6</v>
      </c>
      <c r="AP13" s="67">
        <v>507.9</v>
      </c>
      <c r="AQ13" s="67">
        <f>SUM(H13:K13)</f>
        <v>592</v>
      </c>
      <c r="AR13" s="67">
        <f>SUM(M13:P13)</f>
        <v>678.7</v>
      </c>
      <c r="AS13" s="67">
        <f t="shared" si="0"/>
        <v>847.90000000000009</v>
      </c>
      <c r="AT13" s="67">
        <f>SUM(W13:Z13)</f>
        <v>1017.5999999999999</v>
      </c>
      <c r="AU13" s="67">
        <f>SUM(AB13:AE13)</f>
        <v>1126.5</v>
      </c>
      <c r="AV13" s="67">
        <f>SUM(AG13:AJ13)</f>
        <v>1200.5999999999999</v>
      </c>
      <c r="AW13" s="75"/>
      <c r="AX13" s="73"/>
    </row>
    <row r="14" spans="1:50">
      <c r="A14" s="167" t="s">
        <v>58</v>
      </c>
      <c r="C14" s="95">
        <v>24.1</v>
      </c>
      <c r="D14" s="95">
        <v>26.7</v>
      </c>
      <c r="E14" s="95">
        <v>30.8</v>
      </c>
      <c r="F14" s="95">
        <f>AP14-C14-D14-E14</f>
        <v>34.5</v>
      </c>
      <c r="G14" s="83"/>
      <c r="H14" s="95">
        <v>36.9</v>
      </c>
      <c r="I14" s="95">
        <v>40.5</v>
      </c>
      <c r="J14" s="95">
        <v>45.3</v>
      </c>
      <c r="K14" s="95">
        <v>51.8</v>
      </c>
      <c r="L14" s="83"/>
      <c r="M14" s="95">
        <v>54.4</v>
      </c>
      <c r="N14" s="95">
        <v>58.9</v>
      </c>
      <c r="O14" s="95">
        <v>61.4</v>
      </c>
      <c r="P14" s="95">
        <v>66.7</v>
      </c>
      <c r="Q14" s="83"/>
      <c r="R14" s="95">
        <v>70.599999999999994</v>
      </c>
      <c r="S14" s="95">
        <v>79.599999999999994</v>
      </c>
      <c r="T14" s="95">
        <v>84.8</v>
      </c>
      <c r="U14" s="95">
        <v>91.8</v>
      </c>
      <c r="V14" s="83"/>
      <c r="W14" s="95">
        <v>101.7</v>
      </c>
      <c r="X14" s="95">
        <v>102.2</v>
      </c>
      <c r="Y14" s="95">
        <v>106.8</v>
      </c>
      <c r="Z14" s="95">
        <v>111.5</v>
      </c>
      <c r="AA14" s="83"/>
      <c r="AB14" s="95">
        <v>121.5</v>
      </c>
      <c r="AC14" s="95">
        <v>123</v>
      </c>
      <c r="AD14" s="95">
        <v>130.19999999999999</v>
      </c>
      <c r="AE14" s="95">
        <v>135.30000000000001</v>
      </c>
      <c r="AF14" s="83"/>
      <c r="AG14" s="95">
        <v>138.9</v>
      </c>
      <c r="AH14" s="95">
        <v>144.6</v>
      </c>
      <c r="AI14" s="95">
        <v>154.6</v>
      </c>
      <c r="AJ14" s="95">
        <v>162.9</v>
      </c>
      <c r="AK14" s="106"/>
      <c r="AL14" s="95">
        <v>168.1</v>
      </c>
      <c r="AM14" s="95">
        <v>176.1</v>
      </c>
      <c r="AN14" s="106"/>
      <c r="AO14" s="95">
        <v>78.599999999999994</v>
      </c>
      <c r="AP14" s="95">
        <v>116.1</v>
      </c>
      <c r="AQ14" s="95">
        <f>SUM(H14:K14)</f>
        <v>174.5</v>
      </c>
      <c r="AR14" s="95">
        <f>SUM(M14:P14)</f>
        <v>241.39999999999998</v>
      </c>
      <c r="AS14" s="95">
        <f t="shared" si="0"/>
        <v>326.8</v>
      </c>
      <c r="AT14" s="95">
        <f>SUM(W14:Z14)</f>
        <v>422.2</v>
      </c>
      <c r="AU14" s="95">
        <f>SUM(AB14:AE14)</f>
        <v>510</v>
      </c>
      <c r="AV14" s="95">
        <f>SUM(AG14:AJ14)</f>
        <v>601</v>
      </c>
      <c r="AW14" s="75"/>
      <c r="AX14" s="73"/>
    </row>
    <row r="15" spans="1:50" s="104" customFormat="1">
      <c r="A15" s="104" t="s">
        <v>59</v>
      </c>
      <c r="C15" s="130">
        <f t="shared" ref="C15:AO15" si="1">SUM(C12:C14)</f>
        <v>320.20000000000005</v>
      </c>
      <c r="D15" s="130">
        <f>SUM(D12:D14)</f>
        <v>338.5</v>
      </c>
      <c r="E15" s="130">
        <f t="shared" si="1"/>
        <v>356.90000000000003</v>
      </c>
      <c r="F15" s="130">
        <f t="shared" si="1"/>
        <v>371.69999999999993</v>
      </c>
      <c r="G15" s="126"/>
      <c r="H15" s="130">
        <f t="shared" si="1"/>
        <v>376.29999999999995</v>
      </c>
      <c r="I15" s="130">
        <f t="shared" si="1"/>
        <v>394.5</v>
      </c>
      <c r="J15" s="130">
        <f>SUM(J12:J14)</f>
        <v>411.1</v>
      </c>
      <c r="K15" s="130">
        <f>SUM(K12:K14)</f>
        <v>425.40000000000003</v>
      </c>
      <c r="L15" s="130"/>
      <c r="M15" s="130">
        <v>433.7</v>
      </c>
      <c r="N15" s="130">
        <f>SUM(N12:N14)</f>
        <v>456.2</v>
      </c>
      <c r="O15" s="130">
        <f>SUM(O12:O14)</f>
        <v>472.09999999999997</v>
      </c>
      <c r="P15" s="130">
        <f>SUM(P12:P14)</f>
        <v>485.9</v>
      </c>
      <c r="Q15" s="130"/>
      <c r="R15" s="130">
        <f>SUM(R12:R14)</f>
        <v>489.70000000000005</v>
      </c>
      <c r="S15" s="130">
        <f>SUM(S12:S14)</f>
        <v>557.80000000000007</v>
      </c>
      <c r="T15" s="130">
        <f>SUM(T12:T14)</f>
        <v>582.19999999999993</v>
      </c>
      <c r="U15" s="130">
        <f>SUM(U12:U14)</f>
        <v>602.20000000000005</v>
      </c>
      <c r="V15" s="130"/>
      <c r="W15" s="130">
        <f>SUM(W12:W14)</f>
        <v>633.20000000000005</v>
      </c>
      <c r="X15" s="130">
        <f>SUM(X12:X14)</f>
        <v>651.6</v>
      </c>
      <c r="Y15" s="130">
        <f>SUM(Y12:Y14)</f>
        <v>679.5</v>
      </c>
      <c r="Z15" s="130">
        <f>SUM(Z12:Z14)</f>
        <v>695.8</v>
      </c>
      <c r="AA15" s="130"/>
      <c r="AB15" s="130">
        <f>SUM(AB12:AB14)</f>
        <v>710</v>
      </c>
      <c r="AC15" s="130">
        <f>SUM(AC12:AC14)</f>
        <v>737.2</v>
      </c>
      <c r="AD15" s="130">
        <f>SUM(AD12:AD14)</f>
        <v>760.5</v>
      </c>
      <c r="AE15" s="130">
        <f>SUM(AE12:AE14)</f>
        <v>780.40000000000009</v>
      </c>
      <c r="AF15" s="130"/>
      <c r="AG15" s="130">
        <f>SUM(AG12:AG14)</f>
        <v>791.99999999999989</v>
      </c>
      <c r="AH15" s="130">
        <f>SUM(AH12:AH14)</f>
        <v>806.4</v>
      </c>
      <c r="AI15" s="130">
        <f>SUM(AI12:AI14)</f>
        <v>844.4</v>
      </c>
      <c r="AJ15" s="130">
        <f>SUM(AJ12:AJ14)</f>
        <v>873.9</v>
      </c>
      <c r="AK15" s="106"/>
      <c r="AL15" s="130">
        <f>SUM(AL12:AL14)</f>
        <v>901.1</v>
      </c>
      <c r="AM15" s="130">
        <f>SUM(AM12:AM14)</f>
        <v>931.30000000000007</v>
      </c>
      <c r="AN15" s="106"/>
      <c r="AO15" s="130">
        <f t="shared" si="1"/>
        <v>1130.8</v>
      </c>
      <c r="AP15" s="130">
        <f>SUM(AP12:AP14)</f>
        <v>1387.2999999999997</v>
      </c>
      <c r="AQ15" s="130">
        <f>SUM(AQ12:AQ14)</f>
        <v>1607.3000000000002</v>
      </c>
      <c r="AR15" s="130">
        <f>SUM(M15:P15)</f>
        <v>1847.9</v>
      </c>
      <c r="AS15" s="130">
        <f t="shared" si="0"/>
        <v>2231.8999999999996</v>
      </c>
      <c r="AT15" s="130">
        <f>SUM(W15:Z15)</f>
        <v>2660.1000000000004</v>
      </c>
      <c r="AU15" s="130">
        <f>SUM(AB15:AE15)</f>
        <v>2988.1</v>
      </c>
      <c r="AV15" s="130">
        <f>SUM(AG15:AJ15)</f>
        <v>3316.7</v>
      </c>
      <c r="AW15" s="132"/>
      <c r="AX15" s="133"/>
    </row>
    <row r="16" spans="1:50" ht="15">
      <c r="A16" s="72" t="s">
        <v>153</v>
      </c>
      <c r="C16" s="67"/>
      <c r="D16" s="67"/>
      <c r="E16" s="67"/>
      <c r="F16" s="67"/>
      <c r="G16" s="83"/>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106"/>
      <c r="AL16" s="67"/>
      <c r="AM16" s="67"/>
      <c r="AN16" s="106"/>
      <c r="AO16" s="67"/>
      <c r="AP16" s="67"/>
      <c r="AQ16" s="67"/>
      <c r="AR16" s="67"/>
      <c r="AS16" s="67">
        <f t="shared" si="0"/>
        <v>0</v>
      </c>
      <c r="AT16" s="67"/>
      <c r="AU16" s="67"/>
      <c r="AV16" s="67"/>
      <c r="AW16" s="75"/>
      <c r="AX16" s="73"/>
    </row>
    <row r="17" spans="1:50">
      <c r="A17" s="167" t="s">
        <v>60</v>
      </c>
      <c r="C17" s="67">
        <v>125.8</v>
      </c>
      <c r="D17" s="67">
        <v>127.1</v>
      </c>
      <c r="E17" s="67">
        <v>131.69999999999999</v>
      </c>
      <c r="F17" s="67">
        <f>AP17-C17-D17-E17</f>
        <v>133.80000000000001</v>
      </c>
      <c r="G17" s="83"/>
      <c r="H17" s="67">
        <v>137.19999999999999</v>
      </c>
      <c r="I17" s="67">
        <v>139.69999999999999</v>
      </c>
      <c r="J17" s="67">
        <v>144</v>
      </c>
      <c r="K17" s="67">
        <v>145</v>
      </c>
      <c r="L17" s="67"/>
      <c r="M17" s="67">
        <v>154.4</v>
      </c>
      <c r="N17" s="67">
        <v>162.1</v>
      </c>
      <c r="O17" s="67">
        <v>169.2</v>
      </c>
      <c r="P17" s="67">
        <v>172.1</v>
      </c>
      <c r="Q17" s="67"/>
      <c r="R17" s="67">
        <v>176.8</v>
      </c>
      <c r="S17" s="67">
        <v>196.4</v>
      </c>
      <c r="T17" s="67">
        <v>200.3</v>
      </c>
      <c r="U17" s="67">
        <v>202</v>
      </c>
      <c r="V17" s="67"/>
      <c r="W17" s="67">
        <v>215.3</v>
      </c>
      <c r="X17" s="67">
        <v>221.3</v>
      </c>
      <c r="Y17" s="67">
        <v>226.9</v>
      </c>
      <c r="Z17" s="67">
        <v>230.4</v>
      </c>
      <c r="AA17" s="67"/>
      <c r="AB17" s="67">
        <v>236.4</v>
      </c>
      <c r="AC17" s="67">
        <v>254.6</v>
      </c>
      <c r="AD17" s="67">
        <v>265</v>
      </c>
      <c r="AE17" s="67">
        <v>270.8</v>
      </c>
      <c r="AF17" s="67"/>
      <c r="AG17" s="67">
        <v>277.10000000000002</v>
      </c>
      <c r="AH17" s="67">
        <v>289.39999999999998</v>
      </c>
      <c r="AI17" s="67">
        <v>290.2</v>
      </c>
      <c r="AJ17" s="67">
        <v>301.89999999999998</v>
      </c>
      <c r="AK17" s="106"/>
      <c r="AL17" s="67">
        <v>321.2</v>
      </c>
      <c r="AM17" s="67">
        <v>332</v>
      </c>
      <c r="AN17" s="106"/>
      <c r="AO17" s="67">
        <v>473.9</v>
      </c>
      <c r="AP17" s="67">
        <v>518.4</v>
      </c>
      <c r="AQ17" s="67">
        <f>SUM(H17:K17)</f>
        <v>565.9</v>
      </c>
      <c r="AR17" s="67">
        <f>SUM(M17:P17)</f>
        <v>657.8</v>
      </c>
      <c r="AS17" s="67">
        <f t="shared" si="0"/>
        <v>775.5</v>
      </c>
      <c r="AT17" s="67">
        <f t="shared" ref="AT17:AT33" si="2">SUM(W17:Z17)</f>
        <v>893.9</v>
      </c>
      <c r="AU17" s="67">
        <f>SUM(AB17:AE17)</f>
        <v>1026.8</v>
      </c>
      <c r="AV17" s="67">
        <f t="shared" ref="AV17:AV36" si="3">SUM(AG17:AJ17)</f>
        <v>1158.5999999999999</v>
      </c>
      <c r="AW17" s="75"/>
      <c r="AX17" s="73"/>
    </row>
    <row r="18" spans="1:50">
      <c r="A18" s="167" t="s">
        <v>61</v>
      </c>
      <c r="C18" s="67">
        <v>60.7</v>
      </c>
      <c r="D18" s="67">
        <v>62.5</v>
      </c>
      <c r="E18" s="67">
        <v>61.5</v>
      </c>
      <c r="F18" s="67">
        <v>66.099999999999994</v>
      </c>
      <c r="G18" s="83"/>
      <c r="H18" s="67">
        <v>66.900000000000006</v>
      </c>
      <c r="I18" s="67">
        <v>67</v>
      </c>
      <c r="J18" s="67">
        <v>67.3</v>
      </c>
      <c r="K18" s="67">
        <v>69</v>
      </c>
      <c r="L18" s="67"/>
      <c r="M18" s="67">
        <v>71.7</v>
      </c>
      <c r="N18" s="67">
        <v>70.2</v>
      </c>
      <c r="O18" s="67">
        <v>72.3</v>
      </c>
      <c r="P18" s="67">
        <v>73.599999999999994</v>
      </c>
      <c r="Q18" s="67"/>
      <c r="R18" s="67">
        <v>80.2</v>
      </c>
      <c r="S18" s="67">
        <v>90.1</v>
      </c>
      <c r="T18" s="67">
        <v>91</v>
      </c>
      <c r="U18" s="67">
        <v>94.5</v>
      </c>
      <c r="V18" s="67"/>
      <c r="W18" s="67">
        <v>102</v>
      </c>
      <c r="X18" s="67">
        <v>105.1</v>
      </c>
      <c r="Y18" s="67">
        <v>112.2</v>
      </c>
      <c r="Z18" s="67">
        <v>114.7</v>
      </c>
      <c r="AA18" s="67"/>
      <c r="AB18" s="67">
        <v>124</v>
      </c>
      <c r="AC18" s="67">
        <v>127.2</v>
      </c>
      <c r="AD18" s="67">
        <v>116.4</v>
      </c>
      <c r="AE18" s="67">
        <v>125</v>
      </c>
      <c r="AF18" s="67"/>
      <c r="AG18" s="67">
        <v>134.5</v>
      </c>
      <c r="AH18" s="67">
        <v>135.9</v>
      </c>
      <c r="AI18" s="67">
        <v>141.4</v>
      </c>
      <c r="AJ18" s="67">
        <v>148.6</v>
      </c>
      <c r="AK18" s="106"/>
      <c r="AL18" s="67">
        <v>186.4</v>
      </c>
      <c r="AM18" s="67">
        <v>172</v>
      </c>
      <c r="AN18" s="106"/>
      <c r="AO18" s="67">
        <v>206</v>
      </c>
      <c r="AP18" s="67">
        <v>250.8</v>
      </c>
      <c r="AQ18" s="67">
        <f>SUM(H18:K18)</f>
        <v>270.2</v>
      </c>
      <c r="AR18" s="67">
        <f>SUM(M18:P18)</f>
        <v>287.79999999999995</v>
      </c>
      <c r="AS18" s="67">
        <f t="shared" si="0"/>
        <v>355.8</v>
      </c>
      <c r="AT18" s="67">
        <f t="shared" si="2"/>
        <v>434</v>
      </c>
      <c r="AU18" s="67">
        <f>SUM(AB18:AE18)</f>
        <v>492.6</v>
      </c>
      <c r="AV18" s="67">
        <f t="shared" si="3"/>
        <v>560.4</v>
      </c>
      <c r="AW18" s="75"/>
      <c r="AX18" s="73"/>
    </row>
    <row r="19" spans="1:50">
      <c r="A19" s="167" t="s">
        <v>62</v>
      </c>
      <c r="C19" s="67">
        <v>41</v>
      </c>
      <c r="D19" s="67">
        <v>40.5</v>
      </c>
      <c r="E19" s="67">
        <v>40.200000000000003</v>
      </c>
      <c r="F19" s="67">
        <f>AP19-C19-D19-E19</f>
        <v>42.999999999999986</v>
      </c>
      <c r="G19" s="83"/>
      <c r="H19" s="67">
        <v>50.7</v>
      </c>
      <c r="I19" s="67">
        <v>50.8</v>
      </c>
      <c r="J19" s="67">
        <v>49.3</v>
      </c>
      <c r="K19" s="67">
        <v>51.4</v>
      </c>
      <c r="L19" s="67"/>
      <c r="M19" s="67">
        <v>57.5</v>
      </c>
      <c r="N19" s="67">
        <v>60</v>
      </c>
      <c r="O19" s="67">
        <v>53.4</v>
      </c>
      <c r="P19" s="67">
        <v>57.9</v>
      </c>
      <c r="Q19" s="67"/>
      <c r="R19" s="67">
        <v>67.400000000000006</v>
      </c>
      <c r="S19" s="67">
        <v>62.5</v>
      </c>
      <c r="T19" s="67">
        <v>58.8</v>
      </c>
      <c r="U19" s="67">
        <v>64.5</v>
      </c>
      <c r="V19" s="67"/>
      <c r="W19" s="67">
        <v>74.5</v>
      </c>
      <c r="X19" s="67">
        <v>67.400000000000006</v>
      </c>
      <c r="Y19" s="67">
        <v>70.099999999999994</v>
      </c>
      <c r="Z19" s="67">
        <v>79.400000000000006</v>
      </c>
      <c r="AA19" s="67"/>
      <c r="AB19" s="67">
        <v>90.3</v>
      </c>
      <c r="AC19" s="67">
        <v>90.3</v>
      </c>
      <c r="AD19" s="67">
        <v>79.599999999999994</v>
      </c>
      <c r="AE19" s="67">
        <v>85.4</v>
      </c>
      <c r="AF19" s="67"/>
      <c r="AG19" s="67">
        <v>93.1</v>
      </c>
      <c r="AH19" s="67">
        <v>104.4</v>
      </c>
      <c r="AI19" s="67">
        <v>115.4</v>
      </c>
      <c r="AJ19" s="67">
        <v>125.6</v>
      </c>
      <c r="AK19" s="106"/>
      <c r="AL19" s="67">
        <v>132.69999999999999</v>
      </c>
      <c r="AM19" s="67">
        <v>126.5</v>
      </c>
      <c r="AN19" s="106"/>
      <c r="AO19" s="67">
        <v>145.5</v>
      </c>
      <c r="AP19" s="67">
        <v>164.7</v>
      </c>
      <c r="AQ19" s="67">
        <f>SUM(H19:K19)</f>
        <v>202.20000000000002</v>
      </c>
      <c r="AR19" s="67">
        <f>SUM(M19:P19)</f>
        <v>228.8</v>
      </c>
      <c r="AS19" s="67">
        <f t="shared" si="0"/>
        <v>253.2</v>
      </c>
      <c r="AT19" s="67">
        <f t="shared" si="2"/>
        <v>291.39999999999998</v>
      </c>
      <c r="AU19" s="67">
        <f>SUM(AB19:AE19)</f>
        <v>345.6</v>
      </c>
      <c r="AV19" s="67">
        <f t="shared" si="3"/>
        <v>438.5</v>
      </c>
      <c r="AW19" s="75"/>
      <c r="AX19" s="73"/>
    </row>
    <row r="20" spans="1:50">
      <c r="A20" s="167" t="s">
        <v>63</v>
      </c>
      <c r="C20" s="67">
        <v>46.4</v>
      </c>
      <c r="D20" s="67">
        <v>45.3</v>
      </c>
      <c r="E20" s="67">
        <v>48.9</v>
      </c>
      <c r="F20" s="67">
        <f>AP20-C20-D20-E20</f>
        <v>49.9</v>
      </c>
      <c r="G20" s="83"/>
      <c r="H20" s="67">
        <v>56.7</v>
      </c>
      <c r="I20" s="67">
        <v>55.7</v>
      </c>
      <c r="J20" s="67">
        <v>54.8</v>
      </c>
      <c r="K20" s="67">
        <v>54.3</v>
      </c>
      <c r="L20" s="67"/>
      <c r="M20" s="67">
        <v>61.7</v>
      </c>
      <c r="N20" s="67">
        <v>62.1</v>
      </c>
      <c r="O20" s="67">
        <v>59.8</v>
      </c>
      <c r="P20" s="67">
        <v>58.5</v>
      </c>
      <c r="Q20" s="67"/>
      <c r="R20" s="67">
        <v>67</v>
      </c>
      <c r="S20" s="67">
        <v>75.400000000000006</v>
      </c>
      <c r="T20" s="67">
        <v>74.599999999999994</v>
      </c>
      <c r="U20" s="67">
        <v>75.3</v>
      </c>
      <c r="V20" s="67"/>
      <c r="W20" s="67">
        <v>80.400000000000006</v>
      </c>
      <c r="X20" s="67">
        <v>76.3</v>
      </c>
      <c r="Y20" s="67">
        <v>81.8</v>
      </c>
      <c r="Z20" s="67">
        <v>84.6</v>
      </c>
      <c r="AA20" s="67"/>
      <c r="AB20" s="67">
        <v>90.3</v>
      </c>
      <c r="AC20" s="67">
        <v>87.6</v>
      </c>
      <c r="AD20" s="67">
        <v>86</v>
      </c>
      <c r="AE20" s="67">
        <v>84.8</v>
      </c>
      <c r="AF20" s="67"/>
      <c r="AG20" s="67">
        <v>85.2</v>
      </c>
      <c r="AH20" s="67">
        <v>83.8</v>
      </c>
      <c r="AI20" s="67">
        <v>73.599999999999994</v>
      </c>
      <c r="AJ20" s="67">
        <v>74.3</v>
      </c>
      <c r="AK20" s="106"/>
      <c r="AL20" s="67">
        <v>78.599999999999994</v>
      </c>
      <c r="AM20" s="67">
        <v>78.3</v>
      </c>
      <c r="AN20" s="106"/>
      <c r="AO20" s="67">
        <v>150.9</v>
      </c>
      <c r="AP20" s="67">
        <v>190.5</v>
      </c>
      <c r="AQ20" s="67">
        <f>SUM(H20:K20)</f>
        <v>221.5</v>
      </c>
      <c r="AR20" s="67">
        <f>SUM(M20:P20)</f>
        <v>242.10000000000002</v>
      </c>
      <c r="AS20" s="67">
        <f t="shared" si="0"/>
        <v>292.3</v>
      </c>
      <c r="AT20" s="67">
        <f t="shared" si="2"/>
        <v>323.10000000000002</v>
      </c>
      <c r="AU20" s="67">
        <f>SUM(AB20:AE20)</f>
        <v>348.7</v>
      </c>
      <c r="AV20" s="67">
        <f t="shared" si="3"/>
        <v>316.89999999999998</v>
      </c>
      <c r="AW20" s="75"/>
      <c r="AX20" s="73"/>
    </row>
    <row r="21" spans="1:50" ht="15">
      <c r="A21" s="167" t="s">
        <v>185</v>
      </c>
      <c r="C21" s="67">
        <v>43.7</v>
      </c>
      <c r="D21" s="67">
        <v>43.8</v>
      </c>
      <c r="E21" s="67">
        <v>42.7</v>
      </c>
      <c r="F21" s="67">
        <v>41.8</v>
      </c>
      <c r="G21" s="83"/>
      <c r="H21" s="67">
        <v>47.9</v>
      </c>
      <c r="I21" s="67">
        <v>76.5</v>
      </c>
      <c r="J21" s="67">
        <v>44.2</v>
      </c>
      <c r="K21" s="67">
        <f>50.5+0.6</f>
        <v>51.1</v>
      </c>
      <c r="L21" s="67"/>
      <c r="M21" s="67">
        <v>48.2</v>
      </c>
      <c r="N21" s="67">
        <v>52.8</v>
      </c>
      <c r="O21" s="67">
        <v>52.8</v>
      </c>
      <c r="P21" s="67">
        <v>67.400000000000006</v>
      </c>
      <c r="Q21" s="67"/>
      <c r="R21" s="67">
        <v>61</v>
      </c>
      <c r="S21" s="67">
        <v>71.8</v>
      </c>
      <c r="T21" s="67">
        <v>65.400000000000006</v>
      </c>
      <c r="U21" s="67">
        <v>84.2</v>
      </c>
      <c r="V21" s="67"/>
      <c r="W21" s="67">
        <v>76.400000000000006</v>
      </c>
      <c r="X21" s="67">
        <v>81</v>
      </c>
      <c r="Y21" s="67">
        <v>89.7</v>
      </c>
      <c r="Z21" s="67">
        <v>86.9</v>
      </c>
      <c r="AA21" s="67"/>
      <c r="AB21" s="67">
        <v>93</v>
      </c>
      <c r="AC21" s="67">
        <v>104.8</v>
      </c>
      <c r="AD21" s="67">
        <v>72.2</v>
      </c>
      <c r="AE21" s="67">
        <v>92.1</v>
      </c>
      <c r="AF21" s="67"/>
      <c r="AG21" s="67">
        <v>85.5</v>
      </c>
      <c r="AH21" s="67">
        <v>82.2</v>
      </c>
      <c r="AI21" s="67">
        <v>76.400000000000006</v>
      </c>
      <c r="AJ21" s="67">
        <v>79.7</v>
      </c>
      <c r="AK21" s="106"/>
      <c r="AL21" s="67">
        <v>95.2</v>
      </c>
      <c r="AM21" s="67">
        <v>84.5</v>
      </c>
      <c r="AN21" s="106"/>
      <c r="AO21" s="67">
        <v>145.80000000000001</v>
      </c>
      <c r="AP21" s="67">
        <v>172</v>
      </c>
      <c r="AQ21" s="67">
        <f>SUM(H21:K21)</f>
        <v>219.70000000000002</v>
      </c>
      <c r="AR21" s="67">
        <f>SUM(M21:P21)</f>
        <v>221.20000000000002</v>
      </c>
      <c r="AS21" s="67">
        <f t="shared" si="0"/>
        <v>282.40000000000003</v>
      </c>
      <c r="AT21" s="67">
        <f t="shared" si="2"/>
        <v>334</v>
      </c>
      <c r="AU21" s="67">
        <f>SUM(AB21:AE21)</f>
        <v>362.1</v>
      </c>
      <c r="AV21" s="67">
        <f t="shared" si="3"/>
        <v>323.8</v>
      </c>
      <c r="AW21" s="75"/>
      <c r="AX21" s="73"/>
    </row>
    <row r="22" spans="1:50">
      <c r="A22" s="167" t="s">
        <v>220</v>
      </c>
      <c r="C22" s="67"/>
      <c r="D22" s="67"/>
      <c r="E22" s="67"/>
      <c r="F22" s="67"/>
      <c r="G22" s="83"/>
      <c r="H22" s="67"/>
      <c r="I22" s="67"/>
      <c r="J22" s="67"/>
      <c r="K22" s="67"/>
      <c r="L22" s="67"/>
      <c r="M22" s="67"/>
      <c r="N22" s="67"/>
      <c r="O22" s="67"/>
      <c r="P22" s="67"/>
      <c r="Q22" s="67"/>
      <c r="R22" s="67"/>
      <c r="S22" s="67"/>
      <c r="T22" s="67"/>
      <c r="U22" s="67"/>
      <c r="V22" s="67"/>
      <c r="W22" s="67">
        <v>0</v>
      </c>
      <c r="X22" s="67">
        <v>0</v>
      </c>
      <c r="Y22" s="67">
        <v>0</v>
      </c>
      <c r="Z22" s="67">
        <v>0</v>
      </c>
      <c r="AA22" s="67"/>
      <c r="AB22" s="67">
        <v>0</v>
      </c>
      <c r="AC22" s="67">
        <v>0</v>
      </c>
      <c r="AD22" s="67">
        <v>0</v>
      </c>
      <c r="AE22" s="67">
        <v>0</v>
      </c>
      <c r="AF22" s="67"/>
      <c r="AG22" s="67">
        <v>0</v>
      </c>
      <c r="AH22" s="67">
        <v>39.4</v>
      </c>
      <c r="AI22" s="67">
        <v>4.3</v>
      </c>
      <c r="AJ22" s="67">
        <v>-0.1</v>
      </c>
      <c r="AK22" s="106"/>
      <c r="AL22" s="67">
        <v>0</v>
      </c>
      <c r="AM22" s="67">
        <v>0</v>
      </c>
      <c r="AN22" s="106"/>
      <c r="AO22" s="67"/>
      <c r="AP22" s="67"/>
      <c r="AQ22" s="67"/>
      <c r="AR22" s="67"/>
      <c r="AS22" s="67">
        <v>0</v>
      </c>
      <c r="AT22" s="67">
        <f t="shared" si="2"/>
        <v>0</v>
      </c>
      <c r="AU22" s="67">
        <v>0</v>
      </c>
      <c r="AV22" s="67">
        <f t="shared" si="3"/>
        <v>43.599999999999994</v>
      </c>
      <c r="AW22" s="75"/>
      <c r="AX22" s="73"/>
    </row>
    <row r="23" spans="1:50">
      <c r="A23" s="167" t="s">
        <v>18</v>
      </c>
      <c r="C23" s="95">
        <v>36.700000000000003</v>
      </c>
      <c r="D23" s="95">
        <v>37.799999999999997</v>
      </c>
      <c r="E23" s="95">
        <v>38.5</v>
      </c>
      <c r="F23" s="95">
        <f>AP23-C23-D23-E23</f>
        <v>39.800000000000011</v>
      </c>
      <c r="G23" s="83"/>
      <c r="H23" s="95">
        <v>37.4</v>
      </c>
      <c r="I23" s="95">
        <v>38.4</v>
      </c>
      <c r="J23" s="95">
        <v>40.6</v>
      </c>
      <c r="K23" s="95">
        <v>42.4</v>
      </c>
      <c r="L23" s="83"/>
      <c r="M23" s="95">
        <v>38.9</v>
      </c>
      <c r="N23" s="95">
        <v>39.299999999999997</v>
      </c>
      <c r="O23" s="95">
        <v>43.4</v>
      </c>
      <c r="P23" s="95">
        <v>38.5</v>
      </c>
      <c r="Q23" s="83"/>
      <c r="R23" s="95">
        <v>31.6</v>
      </c>
      <c r="S23" s="95">
        <v>55.5</v>
      </c>
      <c r="T23" s="95">
        <v>60</v>
      </c>
      <c r="U23" s="95">
        <v>58.7</v>
      </c>
      <c r="V23" s="83"/>
      <c r="W23" s="95">
        <v>57.8</v>
      </c>
      <c r="X23" s="95">
        <v>57</v>
      </c>
      <c r="Y23" s="95">
        <v>61.3</v>
      </c>
      <c r="Z23" s="95">
        <v>58</v>
      </c>
      <c r="AA23" s="83"/>
      <c r="AB23" s="95">
        <v>57.2</v>
      </c>
      <c r="AC23" s="95">
        <v>53.8</v>
      </c>
      <c r="AD23" s="95">
        <v>49.9</v>
      </c>
      <c r="AE23" s="95">
        <v>48.8</v>
      </c>
      <c r="AF23" s="83"/>
      <c r="AG23" s="95">
        <v>52.2</v>
      </c>
      <c r="AH23" s="95">
        <v>48.4</v>
      </c>
      <c r="AI23" s="95">
        <v>50.7</v>
      </c>
      <c r="AJ23" s="95">
        <v>51.4</v>
      </c>
      <c r="AK23" s="106"/>
      <c r="AL23" s="95">
        <v>49</v>
      </c>
      <c r="AM23" s="95">
        <v>50</v>
      </c>
      <c r="AN23" s="106"/>
      <c r="AO23" s="95">
        <v>140.6</v>
      </c>
      <c r="AP23" s="95">
        <v>152.80000000000001</v>
      </c>
      <c r="AQ23" s="67">
        <f>SUM(H23:K23)</f>
        <v>158.80000000000001</v>
      </c>
      <c r="AR23" s="67">
        <f t="shared" ref="AR23:AR32" si="4">SUM(M23:P23)</f>
        <v>160.1</v>
      </c>
      <c r="AS23" s="95">
        <f t="shared" ref="AS23:AS33" si="5">SUM(R23:U23)</f>
        <v>205.8</v>
      </c>
      <c r="AT23" s="95">
        <f t="shared" si="2"/>
        <v>234.1</v>
      </c>
      <c r="AU23" s="95">
        <f t="shared" ref="AU23:AU36" si="6">SUM(AB23:AE23)</f>
        <v>209.7</v>
      </c>
      <c r="AV23" s="95">
        <f t="shared" si="3"/>
        <v>202.70000000000002</v>
      </c>
      <c r="AW23" s="75"/>
      <c r="AX23" s="73"/>
    </row>
    <row r="24" spans="1:50">
      <c r="A24" s="72" t="s">
        <v>64</v>
      </c>
      <c r="C24" s="107">
        <f t="shared" ref="C24:AO24" si="7">SUM(C17:C23)</f>
        <v>354.29999999999995</v>
      </c>
      <c r="D24" s="107">
        <f t="shared" si="7"/>
        <v>357</v>
      </c>
      <c r="E24" s="107">
        <f t="shared" si="7"/>
        <v>363.49999999999994</v>
      </c>
      <c r="F24" s="107">
        <f t="shared" si="7"/>
        <v>374.4</v>
      </c>
      <c r="G24" s="83"/>
      <c r="H24" s="107">
        <f t="shared" si="7"/>
        <v>396.79999999999995</v>
      </c>
      <c r="I24" s="107">
        <f t="shared" si="7"/>
        <v>428.09999999999997</v>
      </c>
      <c r="J24" s="107">
        <f>SUM(J17:J23)</f>
        <v>400.20000000000005</v>
      </c>
      <c r="K24" s="107">
        <f>SUM(K17:K23)</f>
        <v>413.2</v>
      </c>
      <c r="L24" s="83"/>
      <c r="M24" s="107">
        <v>432.4</v>
      </c>
      <c r="N24" s="107">
        <f>SUM(N17:N23)</f>
        <v>446.50000000000006</v>
      </c>
      <c r="O24" s="107">
        <f>SUM(O17:O23)</f>
        <v>450.9</v>
      </c>
      <c r="P24" s="107">
        <f>SUM(P17:P23)</f>
        <v>468</v>
      </c>
      <c r="Q24" s="83"/>
      <c r="R24" s="107">
        <f>SUM(R17:R23)</f>
        <v>484</v>
      </c>
      <c r="S24" s="107">
        <f>SUM(S17:S23)</f>
        <v>551.70000000000005</v>
      </c>
      <c r="T24" s="107">
        <f>SUM(T17:T23)</f>
        <v>550.1</v>
      </c>
      <c r="U24" s="107">
        <f>SUM(U17:U23)</f>
        <v>579.20000000000005</v>
      </c>
      <c r="V24" s="83"/>
      <c r="W24" s="107">
        <f>SUM(W17:W23)</f>
        <v>606.4</v>
      </c>
      <c r="X24" s="107">
        <f>SUM(X17:X23)</f>
        <v>608.09999999999991</v>
      </c>
      <c r="Y24" s="107">
        <f>SUM(Y17:Y23)</f>
        <v>642</v>
      </c>
      <c r="Z24" s="107">
        <f>SUM(Z17:Z23)</f>
        <v>654</v>
      </c>
      <c r="AA24" s="83"/>
      <c r="AB24" s="107">
        <f>SUM(AB17:AB23)</f>
        <v>691.2</v>
      </c>
      <c r="AC24" s="107">
        <f>SUM(AC17:AC23)</f>
        <v>718.3</v>
      </c>
      <c r="AD24" s="107">
        <f>SUM(AD17:AD23)</f>
        <v>669.1</v>
      </c>
      <c r="AE24" s="107">
        <f>SUM(AE17:AE23)</f>
        <v>706.9</v>
      </c>
      <c r="AF24" s="83"/>
      <c r="AG24" s="107">
        <f>SUM(AG17:AG23)</f>
        <v>727.60000000000014</v>
      </c>
      <c r="AH24" s="107">
        <f>SUM(AH17:AH23)</f>
        <v>783.49999999999989</v>
      </c>
      <c r="AI24" s="107">
        <f>SUM(AI17:AI23)</f>
        <v>752</v>
      </c>
      <c r="AJ24" s="107">
        <f>SUM(AJ17:AJ23)</f>
        <v>781.4</v>
      </c>
      <c r="AK24" s="106"/>
      <c r="AL24" s="107">
        <f>SUM(AL17:AL23)</f>
        <v>863.1</v>
      </c>
      <c r="AM24" s="107">
        <f>SUM(AM17:AM23)</f>
        <v>843.3</v>
      </c>
      <c r="AN24" s="106"/>
      <c r="AO24" s="107">
        <f t="shared" si="7"/>
        <v>1262.6999999999998</v>
      </c>
      <c r="AP24" s="107">
        <f>SUM(AP17:AP23)</f>
        <v>1449.2</v>
      </c>
      <c r="AQ24" s="107">
        <f>SUM(AQ17:AQ23)</f>
        <v>1638.3</v>
      </c>
      <c r="AR24" s="107">
        <f t="shared" si="4"/>
        <v>1797.8000000000002</v>
      </c>
      <c r="AS24" s="107">
        <f t="shared" si="5"/>
        <v>2165</v>
      </c>
      <c r="AT24" s="107">
        <f t="shared" si="2"/>
        <v>2510.5</v>
      </c>
      <c r="AU24" s="107">
        <f t="shared" si="6"/>
        <v>2785.5</v>
      </c>
      <c r="AV24" s="107">
        <f t="shared" si="3"/>
        <v>3044.5</v>
      </c>
      <c r="AW24" s="75"/>
      <c r="AX24" s="73"/>
    </row>
    <row r="25" spans="1:50">
      <c r="A25" s="72" t="s">
        <v>65</v>
      </c>
      <c r="C25" s="67">
        <f>C15-C24</f>
        <v>-34.099999999999909</v>
      </c>
      <c r="D25" s="67">
        <f>D15-D24</f>
        <v>-18.5</v>
      </c>
      <c r="E25" s="67">
        <f>E15-E24</f>
        <v>-6.5999999999999091</v>
      </c>
      <c r="F25" s="67">
        <f>F15-F24</f>
        <v>-2.7000000000000455</v>
      </c>
      <c r="G25" s="83"/>
      <c r="H25" s="67">
        <f>H15-H24</f>
        <v>-20.5</v>
      </c>
      <c r="I25" s="67">
        <f>I15-I24</f>
        <v>-33.599999999999966</v>
      </c>
      <c r="J25" s="67">
        <f>J15-J24</f>
        <v>10.899999999999977</v>
      </c>
      <c r="K25" s="67">
        <f>K15-K24</f>
        <v>12.200000000000045</v>
      </c>
      <c r="L25" s="67"/>
      <c r="M25" s="67">
        <v>1.3000000000000114</v>
      </c>
      <c r="N25" s="67">
        <f>N15-N24</f>
        <v>9.6999999999999318</v>
      </c>
      <c r="O25" s="67">
        <f>O15-O24</f>
        <v>21.199999999999989</v>
      </c>
      <c r="P25" s="67">
        <f>P15-P24</f>
        <v>17.899999999999977</v>
      </c>
      <c r="Q25" s="67"/>
      <c r="R25" s="67">
        <f>R15-R24</f>
        <v>5.7000000000000455</v>
      </c>
      <c r="S25" s="67">
        <f>S15-S24</f>
        <v>6.1000000000000227</v>
      </c>
      <c r="T25" s="67">
        <f>T15-T24</f>
        <v>32.099999999999909</v>
      </c>
      <c r="U25" s="67">
        <f>U15-U24</f>
        <v>23</v>
      </c>
      <c r="V25" s="67"/>
      <c r="W25" s="67">
        <f>W15-W24</f>
        <v>26.800000000000068</v>
      </c>
      <c r="X25" s="67">
        <f>X15-X24</f>
        <v>43.500000000000114</v>
      </c>
      <c r="Y25" s="67">
        <f>Y15-Y24</f>
        <v>37.5</v>
      </c>
      <c r="Z25" s="67">
        <f>Z15-Z24</f>
        <v>41.799999999999955</v>
      </c>
      <c r="AA25" s="67"/>
      <c r="AB25" s="67">
        <f>AB15-AB24</f>
        <v>18.799999999999955</v>
      </c>
      <c r="AC25" s="67">
        <f>AC15-AC24</f>
        <v>18.900000000000091</v>
      </c>
      <c r="AD25" s="67">
        <f>AD15-AD24</f>
        <v>91.399999999999977</v>
      </c>
      <c r="AE25" s="67">
        <f>AE15-AE24</f>
        <v>73.500000000000114</v>
      </c>
      <c r="AF25" s="67"/>
      <c r="AG25" s="67">
        <f>AG15-AG24</f>
        <v>64.39999999999975</v>
      </c>
      <c r="AH25" s="67">
        <f>AH15-AH24</f>
        <v>22.900000000000091</v>
      </c>
      <c r="AI25" s="67">
        <f>AI15-AI24</f>
        <v>92.399999999999977</v>
      </c>
      <c r="AJ25" s="67">
        <f>AJ15-AJ24</f>
        <v>92.5</v>
      </c>
      <c r="AK25" s="106"/>
      <c r="AL25" s="67">
        <f>AL15-AL24</f>
        <v>38</v>
      </c>
      <c r="AM25" s="67">
        <v>88</v>
      </c>
      <c r="AN25" s="106"/>
      <c r="AO25" s="67">
        <f>AO15-AO24</f>
        <v>-131.89999999999986</v>
      </c>
      <c r="AP25" s="67">
        <f>AP15-AP24</f>
        <v>-61.900000000000318</v>
      </c>
      <c r="AQ25" s="67">
        <f>AQ15-AQ24</f>
        <v>-30.999999999999773</v>
      </c>
      <c r="AR25" s="67">
        <f t="shared" si="4"/>
        <v>50.099999999999909</v>
      </c>
      <c r="AS25" s="67">
        <f t="shared" si="5"/>
        <v>66.899999999999977</v>
      </c>
      <c r="AT25" s="67">
        <f t="shared" si="2"/>
        <v>149.60000000000014</v>
      </c>
      <c r="AU25" s="67">
        <f t="shared" si="6"/>
        <v>202.60000000000014</v>
      </c>
      <c r="AV25" s="67">
        <f t="shared" si="3"/>
        <v>272.19999999999982</v>
      </c>
      <c r="AW25" s="75"/>
      <c r="AX25" s="73"/>
    </row>
    <row r="26" spans="1:50">
      <c r="A26" s="72" t="s">
        <v>66</v>
      </c>
      <c r="C26" s="67">
        <v>-17.600000000000001</v>
      </c>
      <c r="D26" s="67">
        <v>-20.6</v>
      </c>
      <c r="E26" s="67">
        <v>-23.1</v>
      </c>
      <c r="F26" s="67">
        <f>AP26-C26-D26-E26</f>
        <v>-23.700000000000003</v>
      </c>
      <c r="G26" s="83"/>
      <c r="H26" s="67">
        <v>-23.5</v>
      </c>
      <c r="I26" s="67">
        <v>-16.600000000000001</v>
      </c>
      <c r="J26" s="67">
        <v>-14.6</v>
      </c>
      <c r="K26" s="67">
        <v>-14.5</v>
      </c>
      <c r="L26" s="67"/>
      <c r="M26" s="67">
        <v>-14.3</v>
      </c>
      <c r="N26" s="67">
        <v>-14.3</v>
      </c>
      <c r="O26" s="67">
        <v>-14.4</v>
      </c>
      <c r="P26" s="67">
        <v>-14.2</v>
      </c>
      <c r="Q26" s="67"/>
      <c r="R26" s="67">
        <v>-12.8</v>
      </c>
      <c r="S26" s="67">
        <v>-22</v>
      </c>
      <c r="T26" s="67">
        <v>-24.4</v>
      </c>
      <c r="U26" s="67">
        <v>-23.8</v>
      </c>
      <c r="V26" s="67"/>
      <c r="W26" s="67">
        <v>-23.8</v>
      </c>
      <c r="X26" s="67">
        <v>-24.7</v>
      </c>
      <c r="Y26" s="67">
        <v>-25</v>
      </c>
      <c r="Z26" s="67">
        <v>-24.9</v>
      </c>
      <c r="AA26" s="67"/>
      <c r="AB26" s="67">
        <v>-24.4</v>
      </c>
      <c r="AC26" s="67">
        <v>-23.1</v>
      </c>
      <c r="AD26" s="67">
        <v>-22.9</v>
      </c>
      <c r="AE26" s="67">
        <v>-21.7</v>
      </c>
      <c r="AF26" s="67"/>
      <c r="AG26" s="67">
        <v>-21.2</v>
      </c>
      <c r="AH26" s="67">
        <v>-19.399999999999999</v>
      </c>
      <c r="AI26" s="67">
        <v>-23.9</v>
      </c>
      <c r="AJ26" s="67">
        <v>-26.8</v>
      </c>
      <c r="AK26" s="106"/>
      <c r="AL26" s="67">
        <v>-28.7</v>
      </c>
      <c r="AM26" s="67">
        <v>-32.6</v>
      </c>
      <c r="AN26" s="106"/>
      <c r="AO26" s="67">
        <v>-71</v>
      </c>
      <c r="AP26" s="67">
        <v>-85</v>
      </c>
      <c r="AQ26" s="67">
        <f>SUM(H26:K26)</f>
        <v>-69.2</v>
      </c>
      <c r="AR26" s="67">
        <f t="shared" si="4"/>
        <v>-57.2</v>
      </c>
      <c r="AS26" s="67">
        <f t="shared" si="5"/>
        <v>-83</v>
      </c>
      <c r="AT26" s="67">
        <f t="shared" si="2"/>
        <v>-98.4</v>
      </c>
      <c r="AU26" s="67">
        <f t="shared" si="6"/>
        <v>-92.100000000000009</v>
      </c>
      <c r="AV26" s="67">
        <f t="shared" si="3"/>
        <v>-91.3</v>
      </c>
      <c r="AW26" s="75"/>
      <c r="AX26" s="73"/>
    </row>
    <row r="27" spans="1:50">
      <c r="A27" s="72" t="s">
        <v>67</v>
      </c>
      <c r="C27" s="67">
        <v>0</v>
      </c>
      <c r="D27" s="67">
        <v>0</v>
      </c>
      <c r="E27" s="67">
        <v>0</v>
      </c>
      <c r="F27" s="67">
        <v>0</v>
      </c>
      <c r="G27" s="83"/>
      <c r="H27" s="67">
        <v>0</v>
      </c>
      <c r="I27" s="67">
        <v>-21.4</v>
      </c>
      <c r="J27" s="67">
        <v>0</v>
      </c>
      <c r="K27" s="67">
        <v>0</v>
      </c>
      <c r="L27" s="67"/>
      <c r="M27" s="67">
        <v>0</v>
      </c>
      <c r="N27" s="67">
        <v>0</v>
      </c>
      <c r="O27" s="67">
        <v>0</v>
      </c>
      <c r="P27" s="67">
        <v>0</v>
      </c>
      <c r="Q27" s="67"/>
      <c r="R27" s="67">
        <v>-1.7</v>
      </c>
      <c r="S27" s="67">
        <v>0</v>
      </c>
      <c r="T27" s="67">
        <v>-5.3</v>
      </c>
      <c r="U27" s="67">
        <v>-0.3</v>
      </c>
      <c r="V27" s="67"/>
      <c r="W27" s="67">
        <v>0</v>
      </c>
      <c r="X27" s="67">
        <v>0</v>
      </c>
      <c r="Y27" s="67">
        <v>0</v>
      </c>
      <c r="Z27" s="67">
        <v>0</v>
      </c>
      <c r="AA27" s="67"/>
      <c r="AB27" s="67">
        <v>0</v>
      </c>
      <c r="AC27" s="67">
        <v>-14.5</v>
      </c>
      <c r="AD27" s="67">
        <v>0</v>
      </c>
      <c r="AE27" s="67">
        <v>-0.3</v>
      </c>
      <c r="AF27" s="67"/>
      <c r="AG27" s="67">
        <v>0</v>
      </c>
      <c r="AH27" s="67">
        <v>0</v>
      </c>
      <c r="AI27" s="67">
        <v>0</v>
      </c>
      <c r="AJ27" s="67">
        <v>0</v>
      </c>
      <c r="AK27" s="106"/>
      <c r="AL27" s="67">
        <v>0</v>
      </c>
      <c r="AM27" s="67">
        <v>0</v>
      </c>
      <c r="AN27" s="106"/>
      <c r="AO27" s="67">
        <v>0</v>
      </c>
      <c r="AP27" s="67">
        <v>0</v>
      </c>
      <c r="AQ27" s="67">
        <f>SUM(H27:K27)</f>
        <v>-21.4</v>
      </c>
      <c r="AR27" s="67">
        <f t="shared" si="4"/>
        <v>0</v>
      </c>
      <c r="AS27" s="67">
        <f t="shared" si="5"/>
        <v>-7.3</v>
      </c>
      <c r="AT27" s="67">
        <f t="shared" si="2"/>
        <v>0</v>
      </c>
      <c r="AU27" s="67">
        <f t="shared" si="6"/>
        <v>-14.8</v>
      </c>
      <c r="AV27" s="67">
        <f t="shared" si="3"/>
        <v>0</v>
      </c>
      <c r="AW27" s="75"/>
      <c r="AX27" s="73"/>
    </row>
    <row r="28" spans="1:50">
      <c r="A28" s="72" t="s">
        <v>135</v>
      </c>
      <c r="C28" s="67">
        <v>0</v>
      </c>
      <c r="D28" s="67">
        <v>0</v>
      </c>
      <c r="E28" s="67">
        <v>0</v>
      </c>
      <c r="F28" s="67">
        <v>0</v>
      </c>
      <c r="G28" s="83"/>
      <c r="H28" s="67">
        <v>0</v>
      </c>
      <c r="I28" s="67">
        <v>0</v>
      </c>
      <c r="J28" s="67">
        <v>-0.6</v>
      </c>
      <c r="K28" s="67">
        <v>0.6</v>
      </c>
      <c r="L28" s="67"/>
      <c r="M28" s="67">
        <v>-4.5999999999999996</v>
      </c>
      <c r="N28" s="67">
        <v>-6.1</v>
      </c>
      <c r="O28" s="67">
        <v>1.3</v>
      </c>
      <c r="P28" s="67">
        <v>-3.1</v>
      </c>
      <c r="Q28" s="67"/>
      <c r="R28" s="67">
        <v>5</v>
      </c>
      <c r="S28" s="67">
        <v>32</v>
      </c>
      <c r="T28" s="67">
        <v>0</v>
      </c>
      <c r="U28" s="67">
        <v>86.2</v>
      </c>
      <c r="V28" s="67"/>
      <c r="W28" s="67">
        <v>-0.1</v>
      </c>
      <c r="X28" s="67">
        <v>0</v>
      </c>
      <c r="Y28" s="67">
        <v>0</v>
      </c>
      <c r="Z28" s="67">
        <v>15</v>
      </c>
      <c r="AA28" s="67"/>
      <c r="AB28" s="67">
        <v>8.6999999999999993</v>
      </c>
      <c r="AC28" s="67">
        <v>0</v>
      </c>
      <c r="AD28" s="67">
        <v>0</v>
      </c>
      <c r="AE28" s="67">
        <v>0</v>
      </c>
      <c r="AF28" s="67"/>
      <c r="AG28" s="67">
        <v>0</v>
      </c>
      <c r="AH28" s="67">
        <v>-674.7</v>
      </c>
      <c r="AI28" s="67">
        <v>0</v>
      </c>
      <c r="AJ28" s="67">
        <v>0</v>
      </c>
      <c r="AK28" s="106"/>
      <c r="AL28" s="67">
        <v>0</v>
      </c>
      <c r="AM28" s="67">
        <v>0</v>
      </c>
      <c r="AN28" s="106"/>
      <c r="AO28" s="67">
        <v>0</v>
      </c>
      <c r="AP28" s="67">
        <v>0</v>
      </c>
      <c r="AQ28" s="67">
        <v>0</v>
      </c>
      <c r="AR28" s="67">
        <f t="shared" si="4"/>
        <v>-12.499999999999998</v>
      </c>
      <c r="AS28" s="67">
        <f t="shared" si="5"/>
        <v>123.2</v>
      </c>
      <c r="AT28" s="67">
        <f t="shared" si="2"/>
        <v>14.9</v>
      </c>
      <c r="AU28" s="67">
        <f t="shared" si="6"/>
        <v>8.6999999999999993</v>
      </c>
      <c r="AV28" s="67">
        <f t="shared" si="3"/>
        <v>-674.7</v>
      </c>
      <c r="AW28" s="75"/>
      <c r="AX28" s="73"/>
    </row>
    <row r="29" spans="1:50">
      <c r="A29" s="72" t="s">
        <v>68</v>
      </c>
      <c r="C29" s="95">
        <v>-0.8</v>
      </c>
      <c r="D29" s="95">
        <v>0.7</v>
      </c>
      <c r="E29" s="95">
        <v>1.1000000000000001</v>
      </c>
      <c r="F29" s="95">
        <f>AP29-C29-D29-E29</f>
        <v>-0.19999999999999996</v>
      </c>
      <c r="G29" s="83"/>
      <c r="H29" s="95">
        <v>0.2</v>
      </c>
      <c r="I29" s="95">
        <v>0.5</v>
      </c>
      <c r="J29" s="95">
        <v>0</v>
      </c>
      <c r="K29" s="95">
        <v>0.3</v>
      </c>
      <c r="L29" s="83"/>
      <c r="M29" s="95">
        <v>0.7</v>
      </c>
      <c r="N29" s="95">
        <v>-0.8</v>
      </c>
      <c r="O29" s="95">
        <v>-0.7</v>
      </c>
      <c r="P29" s="95">
        <v>-1.1000000000000001</v>
      </c>
      <c r="Q29" s="83"/>
      <c r="R29" s="95">
        <v>1.7</v>
      </c>
      <c r="S29" s="95">
        <v>2.7</v>
      </c>
      <c r="T29" s="95">
        <v>1.7</v>
      </c>
      <c r="U29" s="95">
        <v>0.9</v>
      </c>
      <c r="V29" s="83"/>
      <c r="W29" s="95">
        <v>1</v>
      </c>
      <c r="X29" s="95">
        <v>0.2</v>
      </c>
      <c r="Y29" s="95">
        <v>0.7</v>
      </c>
      <c r="Z29" s="95">
        <v>5</v>
      </c>
      <c r="AA29" s="83"/>
      <c r="AB29" s="95">
        <v>6.2</v>
      </c>
      <c r="AC29" s="95">
        <v>5.2</v>
      </c>
      <c r="AD29" s="95">
        <v>5.6</v>
      </c>
      <c r="AE29" s="95">
        <v>5</v>
      </c>
      <c r="AF29" s="83"/>
      <c r="AG29" s="95">
        <v>-1.4</v>
      </c>
      <c r="AH29" s="95">
        <v>-1.1000000000000001</v>
      </c>
      <c r="AI29" s="95">
        <v>1.2</v>
      </c>
      <c r="AJ29" s="95">
        <v>-0.3</v>
      </c>
      <c r="AK29" s="106"/>
      <c r="AL29" s="95">
        <v>0.7</v>
      </c>
      <c r="AM29" s="189">
        <v>-0.9</v>
      </c>
      <c r="AN29" s="106"/>
      <c r="AO29" s="95">
        <v>1.9</v>
      </c>
      <c r="AP29" s="95">
        <v>0.8</v>
      </c>
      <c r="AQ29" s="95">
        <f>SUM(H29:K29)</f>
        <v>1</v>
      </c>
      <c r="AR29" s="95">
        <f t="shared" si="4"/>
        <v>-1.9000000000000001</v>
      </c>
      <c r="AS29" s="95">
        <f t="shared" si="5"/>
        <v>7.0000000000000009</v>
      </c>
      <c r="AT29" s="95">
        <f t="shared" si="2"/>
        <v>6.9</v>
      </c>
      <c r="AU29" s="95">
        <f t="shared" si="6"/>
        <v>22</v>
      </c>
      <c r="AV29" s="95">
        <f t="shared" si="3"/>
        <v>-1.6</v>
      </c>
      <c r="AW29" s="75"/>
      <c r="AX29" s="73"/>
    </row>
    <row r="30" spans="1:50">
      <c r="A30" s="72" t="s">
        <v>162</v>
      </c>
      <c r="C30" s="67">
        <f>SUM(C25:C29)</f>
        <v>-52.499999999999908</v>
      </c>
      <c r="D30" s="67">
        <f>SUM(D25:D29)</f>
        <v>-38.4</v>
      </c>
      <c r="E30" s="67">
        <f>SUM(E25:E29)</f>
        <v>-28.599999999999909</v>
      </c>
      <c r="F30" s="67">
        <f>SUM(F25:F29)</f>
        <v>-26.600000000000048</v>
      </c>
      <c r="G30" s="83"/>
      <c r="H30" s="67">
        <f>SUM(H25:H29)</f>
        <v>-43.8</v>
      </c>
      <c r="I30" s="67">
        <f>SUM(I25:I29)</f>
        <v>-71.099999999999966</v>
      </c>
      <c r="J30" s="67">
        <f>SUM(J25:J29)</f>
        <v>-4.300000000000022</v>
      </c>
      <c r="K30" s="67">
        <f>SUM(K25:K29)</f>
        <v>-1.3999999999999544</v>
      </c>
      <c r="L30" s="67"/>
      <c r="M30" s="67">
        <v>-16.899999999999988</v>
      </c>
      <c r="N30" s="67">
        <f>SUM(N25:N29)</f>
        <v>-11.500000000000069</v>
      </c>
      <c r="O30" s="67">
        <f>SUM(O25:O29)</f>
        <v>7.3999999999999888</v>
      </c>
      <c r="P30" s="67">
        <f>SUM(P25:P29)</f>
        <v>-0.5000000000000222</v>
      </c>
      <c r="Q30" s="67"/>
      <c r="R30" s="67">
        <f>SUM(R25:R29)</f>
        <v>-2.0999999999999543</v>
      </c>
      <c r="S30" s="67">
        <f>SUM(S25:S29)</f>
        <v>18.800000000000022</v>
      </c>
      <c r="T30" s="67">
        <f>SUM(T25:T29)</f>
        <v>4.0999999999999108</v>
      </c>
      <c r="U30" s="67">
        <f>SUM(U25:U29)</f>
        <v>86.000000000000014</v>
      </c>
      <c r="V30" s="67"/>
      <c r="W30" s="67">
        <f>SUM(W25:W29)</f>
        <v>3.9000000000000674</v>
      </c>
      <c r="X30" s="67">
        <f>SUM(X25:X29)</f>
        <v>19.000000000000114</v>
      </c>
      <c r="Y30" s="67">
        <f>SUM(Y25:Y29)</f>
        <v>13.2</v>
      </c>
      <c r="Z30" s="67">
        <f>SUM(Z25:Z29)</f>
        <v>36.899999999999956</v>
      </c>
      <c r="AA30" s="67"/>
      <c r="AB30" s="67">
        <f>SUM(AB25:AB29)</f>
        <v>9.2999999999999545</v>
      </c>
      <c r="AC30" s="67">
        <f>SUM(AC25:AC29)</f>
        <v>-13.499999999999911</v>
      </c>
      <c r="AD30" s="67">
        <f>SUM(AD25:AD29)</f>
        <v>74.099999999999966</v>
      </c>
      <c r="AE30" s="67">
        <f>SUM(AE25:AE29)</f>
        <v>56.500000000000114</v>
      </c>
      <c r="AF30" s="67"/>
      <c r="AG30" s="67">
        <f>SUM(AG25:AG29)</f>
        <v>41.799999999999748</v>
      </c>
      <c r="AH30" s="67">
        <f>SUM(AH25:AH29)</f>
        <v>-672.3</v>
      </c>
      <c r="AI30" s="67">
        <f>SUM(AI25:AI29)</f>
        <v>69.699999999999974</v>
      </c>
      <c r="AJ30" s="67">
        <f>SUM(AJ25:AJ29)</f>
        <v>65.400000000000006</v>
      </c>
      <c r="AK30" s="106"/>
      <c r="AL30" s="67">
        <f>SUM(AL25:AL29)</f>
        <v>10</v>
      </c>
      <c r="AM30" s="67">
        <f>SUM(AM25:AM29)</f>
        <v>54.5</v>
      </c>
      <c r="AN30" s="106"/>
      <c r="AO30" s="67">
        <f>SUM(AO25:AO29)</f>
        <v>-200.99999999999986</v>
      </c>
      <c r="AP30" s="67">
        <f>SUM(AP25:AP29)</f>
        <v>-146.10000000000031</v>
      </c>
      <c r="AQ30" s="67">
        <f>SUM(AQ25:AQ29)</f>
        <v>-120.59999999999977</v>
      </c>
      <c r="AR30" s="67">
        <f t="shared" si="4"/>
        <v>-21.500000000000089</v>
      </c>
      <c r="AS30" s="67">
        <f t="shared" si="5"/>
        <v>106.79999999999998</v>
      </c>
      <c r="AT30" s="67">
        <f t="shared" si="2"/>
        <v>73.000000000000142</v>
      </c>
      <c r="AU30" s="67">
        <f t="shared" si="6"/>
        <v>126.40000000000012</v>
      </c>
      <c r="AV30" s="67">
        <f t="shared" si="3"/>
        <v>-495.40000000000032</v>
      </c>
      <c r="AW30" s="75"/>
      <c r="AX30" s="73"/>
    </row>
    <row r="31" spans="1:50">
      <c r="A31" s="72" t="s">
        <v>69</v>
      </c>
      <c r="C31" s="95">
        <v>1.2</v>
      </c>
      <c r="D31" s="95">
        <v>0.8</v>
      </c>
      <c r="E31" s="95">
        <v>1</v>
      </c>
      <c r="F31" s="95">
        <f>AP31-C31-D31-E31</f>
        <v>-0.20000000000000018</v>
      </c>
      <c r="G31" s="83"/>
      <c r="H31" s="95">
        <v>0.4</v>
      </c>
      <c r="I31" s="95">
        <v>-0.2</v>
      </c>
      <c r="J31" s="95">
        <v>-0.9</v>
      </c>
      <c r="K31" s="95">
        <v>0.9</v>
      </c>
      <c r="L31" s="83"/>
      <c r="M31" s="95">
        <v>-1.4</v>
      </c>
      <c r="N31" s="95">
        <v>0.4</v>
      </c>
      <c r="O31" s="95">
        <v>0.9</v>
      </c>
      <c r="P31" s="95">
        <v>-0.3</v>
      </c>
      <c r="Q31" s="83"/>
      <c r="R31" s="95">
        <v>-1</v>
      </c>
      <c r="S31" s="95">
        <v>4.5999999999999996</v>
      </c>
      <c r="T31" s="95">
        <v>3</v>
      </c>
      <c r="U31" s="95">
        <v>12.3</v>
      </c>
      <c r="V31" s="83"/>
      <c r="W31" s="95">
        <v>0.3</v>
      </c>
      <c r="X31" s="95">
        <v>1.2</v>
      </c>
      <c r="Y31" s="95">
        <v>0.9</v>
      </c>
      <c r="Z31" s="95">
        <v>6.6</v>
      </c>
      <c r="AA31" s="83"/>
      <c r="AB31" s="95">
        <v>3.9</v>
      </c>
      <c r="AC31" s="95">
        <v>0.8</v>
      </c>
      <c r="AD31" s="95">
        <v>2.7</v>
      </c>
      <c r="AE31" s="95">
        <v>4.5999999999999996</v>
      </c>
      <c r="AF31" s="83"/>
      <c r="AG31" s="95">
        <v>1.4</v>
      </c>
      <c r="AH31" s="95">
        <v>-0.9</v>
      </c>
      <c r="AI31" s="95">
        <v>-4.5999999999999996</v>
      </c>
      <c r="AJ31" s="95">
        <v>5.4</v>
      </c>
      <c r="AK31" s="106"/>
      <c r="AL31" s="95">
        <v>0.8</v>
      </c>
      <c r="AM31" s="189">
        <v>-7.6</v>
      </c>
      <c r="AN31" s="106"/>
      <c r="AO31" s="95">
        <v>1.1000000000000001</v>
      </c>
      <c r="AP31" s="95">
        <v>2.8</v>
      </c>
      <c r="AQ31" s="95">
        <f>SUM(H31:K31)</f>
        <v>0.20000000000000007</v>
      </c>
      <c r="AR31" s="95">
        <f t="shared" si="4"/>
        <v>-0.39999999999999986</v>
      </c>
      <c r="AS31" s="95">
        <f t="shared" si="5"/>
        <v>18.899999999999999</v>
      </c>
      <c r="AT31" s="95">
        <f t="shared" si="2"/>
        <v>9</v>
      </c>
      <c r="AU31" s="95">
        <f t="shared" si="6"/>
        <v>12</v>
      </c>
      <c r="AV31" s="95">
        <f t="shared" si="3"/>
        <v>1.3000000000000007</v>
      </c>
      <c r="AW31" s="75"/>
      <c r="AX31" s="73"/>
    </row>
    <row r="32" spans="1:50" s="67" customFormat="1" hidden="1" outlineLevel="1">
      <c r="A32" s="72" t="s">
        <v>161</v>
      </c>
      <c r="C32" s="67">
        <f>SUM(C30:C31)</f>
        <v>-51.299999999999905</v>
      </c>
      <c r="D32" s="67">
        <f>SUM(D30:D31)</f>
        <v>-37.6</v>
      </c>
      <c r="E32" s="67">
        <f>SUM(E30:E31)</f>
        <v>-27.599999999999909</v>
      </c>
      <c r="F32" s="67">
        <f>SUM(F30:F31)</f>
        <v>-26.800000000000047</v>
      </c>
      <c r="G32" s="83"/>
      <c r="H32" s="67">
        <f>SUM(H30:H31)</f>
        <v>-43.4</v>
      </c>
      <c r="I32" s="67">
        <f>SUM(I30:I31)</f>
        <v>-71.299999999999969</v>
      </c>
      <c r="J32" s="67">
        <f>SUM(J30:J31)</f>
        <v>-5.2000000000000224</v>
      </c>
      <c r="K32" s="67">
        <f>SUM(K30:K31)</f>
        <v>-0.49999999999995437</v>
      </c>
      <c r="M32" s="67">
        <v>-18.299999999999986</v>
      </c>
      <c r="N32" s="67">
        <f>SUM(N30:N31)</f>
        <v>-11.100000000000069</v>
      </c>
      <c r="O32" s="67">
        <f>SUM(O30:O31)</f>
        <v>8.2999999999999883</v>
      </c>
      <c r="P32" s="67">
        <f>SUM(P30:P31)</f>
        <v>-0.80000000000002225</v>
      </c>
      <c r="R32" s="67">
        <f>SUM(R30:R31)</f>
        <v>-3.0999999999999543</v>
      </c>
      <c r="S32" s="67">
        <f>SUM(S30:S31)</f>
        <v>23.40000000000002</v>
      </c>
      <c r="T32" s="67">
        <f>SUM(T30:T31)</f>
        <v>7.0999999999999108</v>
      </c>
      <c r="U32" s="67">
        <f>SUM(U30:U31)</f>
        <v>98.300000000000011</v>
      </c>
      <c r="W32" s="67">
        <f>SUM(W30:W31)</f>
        <v>4.2000000000000677</v>
      </c>
      <c r="X32" s="67">
        <f>SUM(X30:X31)</f>
        <v>20.200000000000113</v>
      </c>
      <c r="Y32" s="67">
        <f>SUM(Y30:Y31)</f>
        <v>14.1</v>
      </c>
      <c r="Z32" s="67">
        <f>SUM(Z30:Z31)</f>
        <v>43.499999999999957</v>
      </c>
      <c r="AB32" s="67">
        <f>SUM(AB30:AB31)</f>
        <v>13.199999999999955</v>
      </c>
      <c r="AC32" s="67">
        <f>SUM(AC30:AC31)</f>
        <v>-12.69999999999991</v>
      </c>
      <c r="AD32" s="67">
        <f>SUM(AD30:AD31)</f>
        <v>76.799999999999969</v>
      </c>
      <c r="AE32" s="67">
        <f>SUM(AE30:AE31)</f>
        <v>61.100000000000115</v>
      </c>
      <c r="AG32" s="67">
        <f>SUM(AG30:AG31)</f>
        <v>43.199999999999747</v>
      </c>
      <c r="AH32" s="67">
        <f>SUM(AH30:AH31)</f>
        <v>-673.19999999999993</v>
      </c>
      <c r="AI32" s="67">
        <f>SUM(AI30:AI31)</f>
        <v>65.09999999999998</v>
      </c>
      <c r="AJ32" s="67">
        <f>SUM(AJ30:AJ31)</f>
        <v>70.800000000000011</v>
      </c>
      <c r="AK32" s="106"/>
      <c r="AL32" s="67">
        <f>SUM(AL30:AL31)</f>
        <v>10.8</v>
      </c>
      <c r="AM32" s="67">
        <f>SUM(AM30:AM31)</f>
        <v>46.9</v>
      </c>
      <c r="AN32" s="106"/>
      <c r="AO32" s="67">
        <f>SUM(AO30:AO31)</f>
        <v>-199.89999999999986</v>
      </c>
      <c r="AP32" s="67">
        <f>SUM(AP30:AP31)</f>
        <v>-143.3000000000003</v>
      </c>
      <c r="AQ32" s="67">
        <f>SUM(AQ30:AQ31)</f>
        <v>-120.39999999999976</v>
      </c>
      <c r="AR32" s="67">
        <f t="shared" si="4"/>
        <v>-21.900000000000087</v>
      </c>
      <c r="AS32" s="67">
        <f t="shared" si="5"/>
        <v>125.69999999999999</v>
      </c>
      <c r="AT32" s="67">
        <f t="shared" si="2"/>
        <v>82.000000000000142</v>
      </c>
      <c r="AU32" s="67">
        <f t="shared" si="6"/>
        <v>138.40000000000012</v>
      </c>
      <c r="AV32" s="67">
        <f t="shared" si="3"/>
        <v>-494.10000000000019</v>
      </c>
    </row>
    <row r="33" spans="1:50" ht="15" hidden="1" outlineLevel="2">
      <c r="A33" s="181" t="s">
        <v>190</v>
      </c>
      <c r="C33" s="95">
        <v>0</v>
      </c>
      <c r="D33" s="95">
        <v>0</v>
      </c>
      <c r="E33" s="95">
        <v>0</v>
      </c>
      <c r="F33" s="95">
        <v>0</v>
      </c>
      <c r="G33" s="83"/>
      <c r="H33" s="95">
        <v>0</v>
      </c>
      <c r="I33" s="95">
        <v>0</v>
      </c>
      <c r="J33" s="95">
        <v>0</v>
      </c>
      <c r="K33" s="95">
        <v>0</v>
      </c>
      <c r="L33" s="83"/>
      <c r="M33" s="95">
        <v>0</v>
      </c>
      <c r="N33" s="95">
        <v>0</v>
      </c>
      <c r="O33" s="95">
        <v>0</v>
      </c>
      <c r="P33" s="95">
        <v>0</v>
      </c>
      <c r="Q33" s="83"/>
      <c r="R33" s="95">
        <v>0</v>
      </c>
      <c r="S33" s="95">
        <v>-5.3</v>
      </c>
      <c r="T33" s="95">
        <v>22.9</v>
      </c>
      <c r="U33" s="95">
        <v>-3.5</v>
      </c>
      <c r="V33" s="83"/>
      <c r="W33" s="95">
        <v>0</v>
      </c>
      <c r="X33" s="95">
        <v>0</v>
      </c>
      <c r="Y33" s="95">
        <v>0</v>
      </c>
      <c r="Z33" s="95">
        <v>0</v>
      </c>
      <c r="AA33" s="83"/>
      <c r="AB33" s="95">
        <v>0</v>
      </c>
      <c r="AC33" s="95">
        <v>0</v>
      </c>
      <c r="AD33" s="95">
        <v>0</v>
      </c>
      <c r="AE33" s="95">
        <v>0</v>
      </c>
      <c r="AF33" s="83"/>
      <c r="AG33" s="95">
        <v>0</v>
      </c>
      <c r="AH33" s="95">
        <v>0</v>
      </c>
      <c r="AI33" s="95">
        <v>0</v>
      </c>
      <c r="AJ33" s="95">
        <v>0</v>
      </c>
      <c r="AK33" s="106"/>
      <c r="AL33" s="95">
        <v>0</v>
      </c>
      <c r="AM33" s="95">
        <v>0</v>
      </c>
      <c r="AN33" s="106"/>
      <c r="AO33" s="95">
        <v>0</v>
      </c>
      <c r="AP33" s="95">
        <v>0</v>
      </c>
      <c r="AQ33" s="95">
        <v>0</v>
      </c>
      <c r="AR33" s="95">
        <v>0</v>
      </c>
      <c r="AS33" s="95">
        <f t="shared" si="5"/>
        <v>14.099999999999998</v>
      </c>
      <c r="AT33" s="95">
        <f t="shared" si="2"/>
        <v>0</v>
      </c>
      <c r="AU33" s="95">
        <f t="shared" si="6"/>
        <v>0</v>
      </c>
      <c r="AV33" s="95">
        <f t="shared" si="3"/>
        <v>0</v>
      </c>
      <c r="AW33" s="75"/>
      <c r="AX33" s="73"/>
    </row>
    <row r="34" spans="1:50" s="67" customFormat="1" collapsed="1">
      <c r="A34" s="72" t="s">
        <v>143</v>
      </c>
      <c r="C34" s="67">
        <f t="shared" ref="C34:F34" si="8">C32+C33</f>
        <v>-51.299999999999905</v>
      </c>
      <c r="D34" s="67">
        <f t="shared" si="8"/>
        <v>-37.6</v>
      </c>
      <c r="E34" s="67">
        <f t="shared" si="8"/>
        <v>-27.599999999999909</v>
      </c>
      <c r="F34" s="67">
        <f t="shared" si="8"/>
        <v>-26.800000000000047</v>
      </c>
      <c r="G34" s="83"/>
      <c r="H34" s="67">
        <f t="shared" ref="H34:K34" si="9">H32+H33</f>
        <v>-43.4</v>
      </c>
      <c r="I34" s="67">
        <f t="shared" si="9"/>
        <v>-71.299999999999969</v>
      </c>
      <c r="J34" s="67">
        <f t="shared" si="9"/>
        <v>-5.2000000000000224</v>
      </c>
      <c r="K34" s="67">
        <f t="shared" si="9"/>
        <v>-0.49999999999995437</v>
      </c>
      <c r="M34" s="67">
        <f t="shared" ref="M34:P34" si="10">M32+M33</f>
        <v>-18.299999999999986</v>
      </c>
      <c r="N34" s="67">
        <f t="shared" si="10"/>
        <v>-11.100000000000069</v>
      </c>
      <c r="O34" s="67">
        <f t="shared" si="10"/>
        <v>8.2999999999999883</v>
      </c>
      <c r="P34" s="67">
        <f t="shared" si="10"/>
        <v>-0.80000000000002225</v>
      </c>
      <c r="R34" s="67">
        <f>R32+R33</f>
        <v>-3.0999999999999543</v>
      </c>
      <c r="S34" s="67">
        <f>S32+S33</f>
        <v>18.100000000000019</v>
      </c>
      <c r="T34" s="67">
        <f>T32+T33</f>
        <v>29.999999999999908</v>
      </c>
      <c r="U34" s="67">
        <f>U32+U33</f>
        <v>94.800000000000011</v>
      </c>
      <c r="W34" s="67">
        <f>W32+W33</f>
        <v>4.2000000000000677</v>
      </c>
      <c r="X34" s="67">
        <f>X32+X33</f>
        <v>20.200000000000113</v>
      </c>
      <c r="Y34" s="67">
        <f>Y32+Y33</f>
        <v>14.1</v>
      </c>
      <c r="Z34" s="67">
        <f>Z32+Z33</f>
        <v>43.499999999999957</v>
      </c>
      <c r="AB34" s="67">
        <f>AB32+AB33</f>
        <v>13.199999999999955</v>
      </c>
      <c r="AC34" s="67">
        <f>AC32+AC33</f>
        <v>-12.69999999999991</v>
      </c>
      <c r="AD34" s="67">
        <f>AD32+AD33</f>
        <v>76.799999999999969</v>
      </c>
      <c r="AE34" s="67">
        <f>AE32+AE33</f>
        <v>61.100000000000115</v>
      </c>
      <c r="AG34" s="67">
        <f>AG32+AG33</f>
        <v>43.199999999999747</v>
      </c>
      <c r="AH34" s="67">
        <f>AH32+AH33</f>
        <v>-673.19999999999993</v>
      </c>
      <c r="AI34" s="67">
        <f>AI32+AI33</f>
        <v>65.09999999999998</v>
      </c>
      <c r="AJ34" s="67">
        <f>AJ32+AJ33</f>
        <v>70.800000000000011</v>
      </c>
      <c r="AK34" s="106"/>
      <c r="AL34" s="67">
        <f>AL32+AL33</f>
        <v>10.8</v>
      </c>
      <c r="AM34" s="67">
        <f>AM32+AM33</f>
        <v>46.9</v>
      </c>
      <c r="AN34" s="106"/>
      <c r="AO34" s="67">
        <f t="shared" ref="AO34:AT34" si="11">AO32+AO33</f>
        <v>-199.89999999999986</v>
      </c>
      <c r="AP34" s="67">
        <f t="shared" si="11"/>
        <v>-143.3000000000003</v>
      </c>
      <c r="AQ34" s="67">
        <f t="shared" si="11"/>
        <v>-120.39999999999976</v>
      </c>
      <c r="AR34" s="67">
        <f t="shared" si="11"/>
        <v>-21.900000000000087</v>
      </c>
      <c r="AS34" s="67">
        <f t="shared" si="11"/>
        <v>139.79999999999998</v>
      </c>
      <c r="AT34" s="67">
        <f t="shared" si="11"/>
        <v>82.000000000000142</v>
      </c>
      <c r="AU34" s="67">
        <f t="shared" si="6"/>
        <v>138.40000000000012</v>
      </c>
      <c r="AV34" s="67">
        <f t="shared" si="3"/>
        <v>-494.10000000000019</v>
      </c>
    </row>
    <row r="35" spans="1:50">
      <c r="A35" s="72" t="s">
        <v>142</v>
      </c>
      <c r="C35" s="95">
        <v>0</v>
      </c>
      <c r="D35" s="95">
        <v>0</v>
      </c>
      <c r="E35" s="95">
        <v>0</v>
      </c>
      <c r="F35" s="95">
        <v>0</v>
      </c>
      <c r="G35" s="83"/>
      <c r="H35" s="95">
        <v>0</v>
      </c>
      <c r="I35" s="95">
        <v>-41.5</v>
      </c>
      <c r="J35" s="95">
        <v>-2.7</v>
      </c>
      <c r="K35" s="95">
        <v>-0.6</v>
      </c>
      <c r="L35" s="83"/>
      <c r="M35" s="95">
        <v>-7.8</v>
      </c>
      <c r="N35" s="95">
        <v>-2.2000000000000002</v>
      </c>
      <c r="O35" s="95">
        <v>3.5</v>
      </c>
      <c r="P35" s="95">
        <v>1.1000000000000001</v>
      </c>
      <c r="Q35" s="83"/>
      <c r="R35" s="95">
        <v>-3.7</v>
      </c>
      <c r="S35" s="95">
        <v>-2.7</v>
      </c>
      <c r="T35" s="95">
        <v>7.6</v>
      </c>
      <c r="U35" s="95">
        <v>2.2000000000000002</v>
      </c>
      <c r="V35" s="83"/>
      <c r="W35" s="95">
        <v>0.9</v>
      </c>
      <c r="X35" s="95">
        <v>2.1</v>
      </c>
      <c r="Y35" s="95">
        <v>0.9</v>
      </c>
      <c r="Z35" s="95">
        <v>1</v>
      </c>
      <c r="AA35" s="83"/>
      <c r="AB35" s="95">
        <v>0.3</v>
      </c>
      <c r="AC35" s="95">
        <v>-0.1</v>
      </c>
      <c r="AD35" s="95">
        <v>0.6</v>
      </c>
      <c r="AE35" s="95">
        <v>0.6</v>
      </c>
      <c r="AF35" s="83"/>
      <c r="AG35" s="95">
        <v>0.3</v>
      </c>
      <c r="AH35" s="95">
        <v>0</v>
      </c>
      <c r="AI35" s="95">
        <v>0.4</v>
      </c>
      <c r="AJ35" s="95">
        <v>0.3</v>
      </c>
      <c r="AK35" s="106"/>
      <c r="AL35" s="95">
        <v>0</v>
      </c>
      <c r="AM35" s="95">
        <v>0.1</v>
      </c>
      <c r="AN35" s="106"/>
      <c r="AO35" s="95">
        <v>0</v>
      </c>
      <c r="AP35" s="95">
        <v>0</v>
      </c>
      <c r="AQ35" s="95">
        <f>SUM(H35:K35)</f>
        <v>-44.800000000000004</v>
      </c>
      <c r="AR35" s="95">
        <f>SUM(M35:P35)</f>
        <v>-5.4</v>
      </c>
      <c r="AS35" s="95">
        <f>SUM(R35:U35)</f>
        <v>3.3999999999999995</v>
      </c>
      <c r="AT35" s="95">
        <f>SUM(W35:Z35)</f>
        <v>4.9000000000000004</v>
      </c>
      <c r="AU35" s="95">
        <f t="shared" si="6"/>
        <v>1.4</v>
      </c>
      <c r="AV35" s="95">
        <f t="shared" si="3"/>
        <v>1</v>
      </c>
      <c r="AW35" s="75"/>
      <c r="AX35" s="73"/>
    </row>
    <row r="36" spans="1:50" s="155" customFormat="1">
      <c r="A36" s="155" t="s">
        <v>141</v>
      </c>
      <c r="C36" s="155">
        <f>C34-C35</f>
        <v>-51.299999999999905</v>
      </c>
      <c r="D36" s="155">
        <f>D34-D35</f>
        <v>-37.6</v>
      </c>
      <c r="E36" s="155">
        <f>E34-E35</f>
        <v>-27.599999999999909</v>
      </c>
      <c r="F36" s="155">
        <f>F34-F35</f>
        <v>-26.800000000000047</v>
      </c>
      <c r="G36" s="156"/>
      <c r="H36" s="155">
        <f>H34-H35</f>
        <v>-43.4</v>
      </c>
      <c r="I36" s="155">
        <f>I34-I35</f>
        <v>-29.799999999999969</v>
      </c>
      <c r="J36" s="155">
        <f>J34-J35</f>
        <v>-2.5000000000000222</v>
      </c>
      <c r="K36" s="155">
        <f>K34-K35</f>
        <v>0.10000000000004561</v>
      </c>
      <c r="M36" s="155">
        <f>M34-M35</f>
        <v>-10.499999999999986</v>
      </c>
      <c r="N36" s="155">
        <f>N34-N35</f>
        <v>-8.9000000000000696</v>
      </c>
      <c r="O36" s="155">
        <f>O34-O35</f>
        <v>4.7999999999999883</v>
      </c>
      <c r="P36" s="155">
        <f>P34-P35</f>
        <v>-1.9000000000000223</v>
      </c>
      <c r="R36" s="155">
        <f>R34-R35</f>
        <v>0.60000000000004583</v>
      </c>
      <c r="S36" s="155">
        <f>S34-S35</f>
        <v>20.800000000000018</v>
      </c>
      <c r="T36" s="155">
        <f>T34-T35</f>
        <v>22.399999999999906</v>
      </c>
      <c r="U36" s="155">
        <f>U34-U35</f>
        <v>92.600000000000009</v>
      </c>
      <c r="W36" s="155">
        <f>W34-W35</f>
        <v>3.3000000000000678</v>
      </c>
      <c r="X36" s="155">
        <f>X34-X35</f>
        <v>18.100000000000112</v>
      </c>
      <c r="Y36" s="155">
        <f>Y34-Y35</f>
        <v>13.2</v>
      </c>
      <c r="Z36" s="155">
        <f>Z34-Z35</f>
        <v>42.499999999999957</v>
      </c>
      <c r="AB36" s="155">
        <f>AB34-AB35</f>
        <v>12.899999999999954</v>
      </c>
      <c r="AC36" s="155">
        <f>AC34-AC35</f>
        <v>-12.599999999999911</v>
      </c>
      <c r="AD36" s="155">
        <f>AD34-AD35</f>
        <v>76.199999999999974</v>
      </c>
      <c r="AE36" s="155">
        <f>AE34-AE35</f>
        <v>60.500000000000114</v>
      </c>
      <c r="AG36" s="155">
        <f>AG34-AG35</f>
        <v>42.89999999999975</v>
      </c>
      <c r="AH36" s="155">
        <f>AH34-AH35</f>
        <v>-673.19999999999993</v>
      </c>
      <c r="AI36" s="155">
        <f>AI34-AI35</f>
        <v>64.699999999999974</v>
      </c>
      <c r="AJ36" s="155">
        <f>AJ34-AJ35</f>
        <v>70.500000000000014</v>
      </c>
      <c r="AK36" s="106"/>
      <c r="AL36" s="155">
        <f>AL34-AL35</f>
        <v>10.8</v>
      </c>
      <c r="AM36" s="155">
        <f>AM34-AM35</f>
        <v>46.8</v>
      </c>
      <c r="AN36" s="106"/>
      <c r="AO36" s="155">
        <f t="shared" ref="AO36:AT36" si="12">AO34-AO35</f>
        <v>-199.89999999999986</v>
      </c>
      <c r="AP36" s="155">
        <f t="shared" si="12"/>
        <v>-143.3000000000003</v>
      </c>
      <c r="AQ36" s="155">
        <f t="shared" si="12"/>
        <v>-75.599999999999767</v>
      </c>
      <c r="AR36" s="155">
        <f t="shared" si="12"/>
        <v>-16.500000000000085</v>
      </c>
      <c r="AS36" s="155">
        <f t="shared" si="12"/>
        <v>136.39999999999998</v>
      </c>
      <c r="AT36" s="155">
        <f t="shared" si="12"/>
        <v>77.100000000000136</v>
      </c>
      <c r="AU36" s="155">
        <f t="shared" si="6"/>
        <v>137.00000000000011</v>
      </c>
      <c r="AV36" s="155">
        <f t="shared" si="3"/>
        <v>-495.10000000000025</v>
      </c>
    </row>
    <row r="37" spans="1:50" ht="15">
      <c r="A37" s="72" t="s">
        <v>188</v>
      </c>
      <c r="B37" s="73"/>
      <c r="AW37" s="73"/>
      <c r="AX37" s="73"/>
    </row>
    <row r="38" spans="1:50">
      <c r="A38" s="124" t="s">
        <v>167</v>
      </c>
      <c r="B38" s="73"/>
      <c r="C38" s="109">
        <v>-0.4</v>
      </c>
      <c r="D38" s="109">
        <v>-0.28999999999999998</v>
      </c>
      <c r="E38" s="109">
        <v>-0.21</v>
      </c>
      <c r="F38" s="109">
        <f>AP38-C38-D38-E38</f>
        <v>-0.2100000000000001</v>
      </c>
      <c r="G38" s="117"/>
      <c r="H38" s="109">
        <v>-0.34</v>
      </c>
      <c r="I38" s="109">
        <v>-0.46</v>
      </c>
      <c r="J38" s="109">
        <v>-0.04</v>
      </c>
      <c r="K38" s="109">
        <v>0</v>
      </c>
      <c r="L38" s="109"/>
      <c r="M38" s="109">
        <v>-0.15</v>
      </c>
      <c r="N38" s="109">
        <v>-0.11</v>
      </c>
      <c r="O38" s="109">
        <v>0.06</v>
      </c>
      <c r="P38" s="109">
        <v>-0.02</v>
      </c>
      <c r="Q38" s="109"/>
      <c r="R38" s="109">
        <v>0.01</v>
      </c>
      <c r="S38" s="109">
        <v>0.25</v>
      </c>
      <c r="T38" s="109">
        <v>0.05</v>
      </c>
      <c r="U38" s="109">
        <v>0.74</v>
      </c>
      <c r="V38" s="109"/>
      <c r="W38" s="109">
        <v>0.02</v>
      </c>
      <c r="X38" s="109">
        <v>0.12</v>
      </c>
      <c r="Y38" s="109">
        <v>0.08</v>
      </c>
      <c r="Z38" s="109">
        <v>0.25</v>
      </c>
      <c r="AA38" s="109"/>
      <c r="AB38" s="109">
        <v>0.08</v>
      </c>
      <c r="AC38" s="109">
        <v>-7.0000000000000007E-2</v>
      </c>
      <c r="AD38" s="109">
        <v>0.44</v>
      </c>
      <c r="AE38" s="109">
        <v>0.35</v>
      </c>
      <c r="AF38" s="109"/>
      <c r="AG38" s="109">
        <v>0.25</v>
      </c>
      <c r="AH38" s="109">
        <v>-4.0599999999999996</v>
      </c>
      <c r="AI38" s="109">
        <v>0.39</v>
      </c>
      <c r="AJ38" s="109">
        <v>0.42</v>
      </c>
      <c r="AK38" s="110"/>
      <c r="AL38" s="109">
        <v>0.06</v>
      </c>
      <c r="AM38" s="109">
        <v>0.28000000000000003</v>
      </c>
      <c r="AN38" s="110"/>
      <c r="AO38" s="109">
        <v>-1.58</v>
      </c>
      <c r="AP38" s="109">
        <v>-1.1100000000000001</v>
      </c>
      <c r="AQ38" s="109">
        <v>-0.81</v>
      </c>
      <c r="AR38" s="109">
        <v>-0.21</v>
      </c>
      <c r="AS38" s="109">
        <v>1.17</v>
      </c>
      <c r="AT38" s="109">
        <v>0.5</v>
      </c>
      <c r="AU38" s="109">
        <v>0.79</v>
      </c>
      <c r="AV38" s="109">
        <v>-2.94</v>
      </c>
      <c r="AW38" s="73"/>
      <c r="AX38" s="73"/>
    </row>
    <row r="39" spans="1:50">
      <c r="A39" s="124" t="s">
        <v>168</v>
      </c>
      <c r="B39" s="73"/>
      <c r="C39" s="109"/>
      <c r="D39" s="109"/>
      <c r="E39" s="109"/>
      <c r="F39" s="109"/>
      <c r="G39" s="117"/>
      <c r="H39" s="109"/>
      <c r="I39" s="109"/>
      <c r="J39" s="109"/>
      <c r="K39" s="109"/>
      <c r="L39" s="109"/>
      <c r="M39" s="109"/>
      <c r="N39" s="109"/>
      <c r="O39" s="109"/>
      <c r="P39" s="109"/>
      <c r="Q39" s="109"/>
      <c r="R39" s="109"/>
      <c r="S39" s="109">
        <v>-0.05</v>
      </c>
      <c r="T39" s="109">
        <v>0.15</v>
      </c>
      <c r="U39" s="109">
        <v>-0.02</v>
      </c>
      <c r="V39" s="109"/>
      <c r="W39" s="109"/>
      <c r="X39" s="109"/>
      <c r="Y39" s="109"/>
      <c r="Z39" s="109"/>
      <c r="AA39" s="109"/>
      <c r="AB39" s="109"/>
      <c r="AC39" s="109"/>
      <c r="AD39" s="109"/>
      <c r="AE39" s="109"/>
      <c r="AF39" s="109"/>
      <c r="AG39" s="109"/>
      <c r="AH39" s="109"/>
      <c r="AI39" s="109"/>
      <c r="AJ39" s="109"/>
      <c r="AK39" s="110"/>
      <c r="AL39" s="109"/>
      <c r="AM39" s="109"/>
      <c r="AN39" s="110"/>
      <c r="AO39" s="109"/>
      <c r="AP39" s="109"/>
      <c r="AQ39" s="109"/>
      <c r="AR39" s="109"/>
      <c r="AS39" s="117">
        <v>0.08</v>
      </c>
      <c r="AT39" s="109"/>
      <c r="AU39" s="109"/>
      <c r="AV39" s="109"/>
      <c r="AW39" s="73"/>
      <c r="AX39" s="73"/>
    </row>
    <row r="40" spans="1:50">
      <c r="A40" s="168" t="s">
        <v>172</v>
      </c>
      <c r="B40" s="73"/>
      <c r="C40" s="109"/>
      <c r="D40" s="109"/>
      <c r="E40" s="109"/>
      <c r="F40" s="109"/>
      <c r="G40" s="117"/>
      <c r="H40" s="109"/>
      <c r="I40" s="109"/>
      <c r="J40" s="109"/>
      <c r="K40" s="109"/>
      <c r="L40" s="109"/>
      <c r="M40" s="109"/>
      <c r="N40" s="109"/>
      <c r="O40" s="109"/>
      <c r="P40" s="109"/>
      <c r="Q40" s="109"/>
      <c r="R40" s="109"/>
      <c r="S40" s="109">
        <f>S38+S39</f>
        <v>0.2</v>
      </c>
      <c r="T40" s="109">
        <f>T38+T39</f>
        <v>0.2</v>
      </c>
      <c r="U40" s="109">
        <f>U38+U39</f>
        <v>0.72</v>
      </c>
      <c r="V40" s="109"/>
      <c r="W40" s="109"/>
      <c r="X40" s="109"/>
      <c r="Y40" s="109"/>
      <c r="Z40" s="109"/>
      <c r="AA40" s="109"/>
      <c r="AB40" s="109"/>
      <c r="AC40" s="109"/>
      <c r="AD40" s="109"/>
      <c r="AE40" s="109"/>
      <c r="AF40" s="109"/>
      <c r="AG40" s="109"/>
      <c r="AH40" s="109"/>
      <c r="AI40" s="109"/>
      <c r="AJ40" s="109"/>
      <c r="AK40" s="110"/>
      <c r="AL40" s="109"/>
      <c r="AM40" s="109"/>
      <c r="AN40" s="110"/>
      <c r="AO40" s="109"/>
      <c r="AP40" s="109"/>
      <c r="AQ40" s="109"/>
      <c r="AR40" s="109"/>
      <c r="AS40" s="117">
        <f>AS38+AS39</f>
        <v>1.25</v>
      </c>
      <c r="AT40" s="109"/>
      <c r="AU40" s="109"/>
      <c r="AV40" s="109"/>
      <c r="AW40" s="73"/>
      <c r="AX40" s="73"/>
    </row>
    <row r="41" spans="1:50">
      <c r="A41" s="124" t="s">
        <v>169</v>
      </c>
      <c r="B41" s="73"/>
      <c r="C41" s="109">
        <f t="shared" ref="C41:N41" si="13">C38</f>
        <v>-0.4</v>
      </c>
      <c r="D41" s="109">
        <f t="shared" si="13"/>
        <v>-0.28999999999999998</v>
      </c>
      <c r="E41" s="109">
        <f t="shared" si="13"/>
        <v>-0.21</v>
      </c>
      <c r="F41" s="109">
        <f t="shared" si="13"/>
        <v>-0.2100000000000001</v>
      </c>
      <c r="G41" s="109">
        <f t="shared" si="13"/>
        <v>0</v>
      </c>
      <c r="H41" s="109">
        <f t="shared" si="13"/>
        <v>-0.34</v>
      </c>
      <c r="I41" s="109">
        <f t="shared" si="13"/>
        <v>-0.46</v>
      </c>
      <c r="J41" s="109">
        <f t="shared" si="13"/>
        <v>-0.04</v>
      </c>
      <c r="K41" s="109">
        <f t="shared" si="13"/>
        <v>0</v>
      </c>
      <c r="L41" s="109">
        <f t="shared" si="13"/>
        <v>0</v>
      </c>
      <c r="M41" s="109">
        <f t="shared" si="13"/>
        <v>-0.15</v>
      </c>
      <c r="N41" s="109">
        <f t="shared" si="13"/>
        <v>-0.11</v>
      </c>
      <c r="O41" s="109">
        <v>0.05</v>
      </c>
      <c r="P41" s="109">
        <f>P38</f>
        <v>-0.02</v>
      </c>
      <c r="Q41" s="109"/>
      <c r="R41" s="109">
        <v>0.01</v>
      </c>
      <c r="S41" s="109">
        <v>0.13</v>
      </c>
      <c r="T41" s="109">
        <v>0.04</v>
      </c>
      <c r="U41" s="109">
        <v>0.56000000000000005</v>
      </c>
      <c r="V41" s="109"/>
      <c r="W41" s="109">
        <v>0.02</v>
      </c>
      <c r="X41" s="109">
        <v>0.11</v>
      </c>
      <c r="Y41" s="109">
        <v>0.08</v>
      </c>
      <c r="Z41" s="109">
        <v>0.24</v>
      </c>
      <c r="AA41" s="109"/>
      <c r="AB41" s="109">
        <v>7.0000000000000007E-2</v>
      </c>
      <c r="AC41" s="109">
        <v>-7.0000000000000007E-2</v>
      </c>
      <c r="AD41" s="109">
        <v>0.42</v>
      </c>
      <c r="AE41" s="109">
        <v>0.34</v>
      </c>
      <c r="AF41" s="109"/>
      <c r="AG41" s="109">
        <v>0.24</v>
      </c>
      <c r="AH41" s="109">
        <v>-4.0599999999999996</v>
      </c>
      <c r="AI41" s="109">
        <v>0.38</v>
      </c>
      <c r="AJ41" s="109">
        <v>0.41</v>
      </c>
      <c r="AK41" s="110"/>
      <c r="AL41" s="109">
        <v>0.06</v>
      </c>
      <c r="AM41" s="109">
        <v>0.27</v>
      </c>
      <c r="AN41" s="110"/>
      <c r="AO41" s="109">
        <f>AO38</f>
        <v>-1.58</v>
      </c>
      <c r="AP41" s="109">
        <f>AP38</f>
        <v>-1.1100000000000001</v>
      </c>
      <c r="AQ41" s="109">
        <f>AQ38</f>
        <v>-0.81</v>
      </c>
      <c r="AR41" s="109">
        <f>AR38</f>
        <v>-0.21</v>
      </c>
      <c r="AS41" s="117">
        <v>0.71</v>
      </c>
      <c r="AT41" s="109">
        <v>0.45</v>
      </c>
      <c r="AU41" s="109">
        <v>0.76</v>
      </c>
      <c r="AV41" s="109">
        <v>-2.94</v>
      </c>
      <c r="AW41" s="73"/>
      <c r="AX41" s="73"/>
    </row>
    <row r="42" spans="1:50">
      <c r="A42" s="124" t="s">
        <v>170</v>
      </c>
      <c r="B42" s="73"/>
      <c r="C42" s="109"/>
      <c r="D42" s="109"/>
      <c r="E42" s="109"/>
      <c r="F42" s="109"/>
      <c r="G42" s="109"/>
      <c r="H42" s="109"/>
      <c r="I42" s="109"/>
      <c r="J42" s="109"/>
      <c r="K42" s="109"/>
      <c r="L42" s="109"/>
      <c r="M42" s="109"/>
      <c r="N42" s="109"/>
      <c r="O42" s="109"/>
      <c r="P42" s="109"/>
      <c r="Q42" s="109"/>
      <c r="R42" s="109"/>
      <c r="S42" s="109">
        <v>-0.03</v>
      </c>
      <c r="T42" s="109">
        <v>0.13</v>
      </c>
      <c r="U42" s="109">
        <v>-0.02</v>
      </c>
      <c r="V42" s="109"/>
      <c r="W42" s="109"/>
      <c r="X42" s="109"/>
      <c r="Y42" s="109"/>
      <c r="Z42" s="109"/>
      <c r="AA42" s="109"/>
      <c r="AB42" s="109"/>
      <c r="AC42" s="109"/>
      <c r="AD42" s="109"/>
      <c r="AE42" s="109"/>
      <c r="AF42" s="109"/>
      <c r="AG42" s="109"/>
      <c r="AH42" s="109"/>
      <c r="AI42" s="109"/>
      <c r="AJ42" s="109"/>
      <c r="AK42" s="110"/>
      <c r="AL42" s="109"/>
      <c r="AM42" s="109"/>
      <c r="AN42" s="110"/>
      <c r="AO42" s="109"/>
      <c r="AP42" s="109"/>
      <c r="AQ42" s="109"/>
      <c r="AR42" s="109"/>
      <c r="AS42" s="117">
        <v>0.08</v>
      </c>
      <c r="AT42" s="109"/>
      <c r="AU42" s="109"/>
      <c r="AV42" s="109"/>
      <c r="AW42" s="73"/>
      <c r="AX42" s="73"/>
    </row>
    <row r="43" spans="1:50">
      <c r="A43" s="168" t="s">
        <v>172</v>
      </c>
      <c r="B43" s="73"/>
      <c r="C43" s="109"/>
      <c r="D43" s="109"/>
      <c r="E43" s="109"/>
      <c r="F43" s="109"/>
      <c r="G43" s="109"/>
      <c r="H43" s="109"/>
      <c r="I43" s="109"/>
      <c r="J43" s="109"/>
      <c r="K43" s="109"/>
      <c r="L43" s="109"/>
      <c r="M43" s="109"/>
      <c r="N43" s="109"/>
      <c r="O43" s="109"/>
      <c r="P43" s="109"/>
      <c r="Q43" s="109"/>
      <c r="R43" s="109"/>
      <c r="S43" s="109">
        <f>S41+S42</f>
        <v>0.1</v>
      </c>
      <c r="T43" s="109">
        <f>T41+T42</f>
        <v>0.17</v>
      </c>
      <c r="U43" s="109">
        <f>U41+U42</f>
        <v>0.54</v>
      </c>
      <c r="V43" s="109"/>
      <c r="W43" s="109"/>
      <c r="X43" s="109"/>
      <c r="Y43" s="109"/>
      <c r="Z43" s="109"/>
      <c r="AA43" s="109"/>
      <c r="AB43" s="109"/>
      <c r="AC43" s="109"/>
      <c r="AD43" s="109"/>
      <c r="AE43" s="109"/>
      <c r="AF43" s="109"/>
      <c r="AG43" s="109"/>
      <c r="AH43" s="109"/>
      <c r="AI43" s="109"/>
      <c r="AJ43" s="109"/>
      <c r="AK43" s="110"/>
      <c r="AL43" s="109"/>
      <c r="AM43" s="109"/>
      <c r="AN43" s="110"/>
      <c r="AO43" s="109"/>
      <c r="AP43" s="109"/>
      <c r="AQ43" s="109"/>
      <c r="AR43" s="109"/>
      <c r="AS43" s="117">
        <f>AS41+AS42</f>
        <v>0.78999999999999992</v>
      </c>
      <c r="AT43" s="109"/>
      <c r="AU43" s="109"/>
      <c r="AV43" s="109"/>
      <c r="AW43" s="73"/>
      <c r="AX43" s="73"/>
    </row>
    <row r="44" spans="1:50" ht="30">
      <c r="A44" s="66" t="s">
        <v>189</v>
      </c>
      <c r="B44" s="66"/>
      <c r="AX44" s="73"/>
    </row>
    <row r="45" spans="1:50">
      <c r="A45" s="124" t="s">
        <v>144</v>
      </c>
      <c r="B45" s="66"/>
      <c r="C45" s="111">
        <v>38826</v>
      </c>
      <c r="D45" s="111">
        <v>38826</v>
      </c>
      <c r="E45" s="111">
        <v>38826</v>
      </c>
      <c r="F45" s="111">
        <v>38826</v>
      </c>
      <c r="G45" s="118"/>
      <c r="H45" s="111">
        <v>38826</v>
      </c>
      <c r="I45" s="111">
        <v>64635</v>
      </c>
      <c r="J45" s="111">
        <v>64999</v>
      </c>
      <c r="K45" s="111">
        <v>66244</v>
      </c>
      <c r="L45" s="111"/>
      <c r="M45" s="111">
        <v>67834</v>
      </c>
      <c r="N45" s="111">
        <v>79872</v>
      </c>
      <c r="O45" s="111">
        <v>83733</v>
      </c>
      <c r="P45" s="111">
        <v>87774</v>
      </c>
      <c r="Q45" s="111"/>
      <c r="R45" s="111">
        <v>89600</v>
      </c>
      <c r="S45" s="111">
        <v>101800</v>
      </c>
      <c r="T45" s="111">
        <v>114836</v>
      </c>
      <c r="U45" s="111">
        <v>128388</v>
      </c>
      <c r="V45" s="111"/>
      <c r="W45" s="111">
        <v>137841</v>
      </c>
      <c r="X45" s="111">
        <v>152577</v>
      </c>
      <c r="Y45" s="111">
        <v>162359</v>
      </c>
      <c r="Z45" s="111">
        <v>167753</v>
      </c>
      <c r="AA45" s="111"/>
      <c r="AB45" s="111">
        <v>171001</v>
      </c>
      <c r="AC45" s="111">
        <v>176007</v>
      </c>
      <c r="AD45" s="111">
        <v>174820</v>
      </c>
      <c r="AE45" s="111">
        <v>171870</v>
      </c>
      <c r="AF45" s="111"/>
      <c r="AG45" s="111">
        <v>173113</v>
      </c>
      <c r="AH45" s="111">
        <v>165845</v>
      </c>
      <c r="AI45" s="111">
        <v>167258</v>
      </c>
      <c r="AJ45" s="111">
        <v>168345</v>
      </c>
      <c r="AK45" s="177"/>
      <c r="AL45" s="111">
        <v>169435</v>
      </c>
      <c r="AM45" s="111">
        <v>168204</v>
      </c>
      <c r="AN45" s="206"/>
      <c r="AO45" s="111">
        <v>38826</v>
      </c>
      <c r="AP45" s="111">
        <v>38826</v>
      </c>
      <c r="AQ45" s="111">
        <v>58676</v>
      </c>
      <c r="AR45" s="111">
        <v>79835</v>
      </c>
      <c r="AS45" s="111">
        <v>108779</v>
      </c>
      <c r="AT45" s="111">
        <v>155234</v>
      </c>
      <c r="AU45" s="111">
        <v>173431</v>
      </c>
      <c r="AV45" s="111">
        <v>168636</v>
      </c>
      <c r="AX45" s="73"/>
    </row>
    <row r="46" spans="1:50">
      <c r="A46" s="124" t="s">
        <v>145</v>
      </c>
      <c r="B46" s="66"/>
      <c r="C46" s="111">
        <f>C45</f>
        <v>38826</v>
      </c>
      <c r="D46" s="111">
        <f t="shared" ref="D46:N46" si="14">D45</f>
        <v>38826</v>
      </c>
      <c r="E46" s="111">
        <f t="shared" si="14"/>
        <v>38826</v>
      </c>
      <c r="F46" s="111">
        <f t="shared" si="14"/>
        <v>38826</v>
      </c>
      <c r="G46" s="111">
        <f t="shared" si="14"/>
        <v>0</v>
      </c>
      <c r="H46" s="111">
        <f t="shared" si="14"/>
        <v>38826</v>
      </c>
      <c r="I46" s="111">
        <f t="shared" si="14"/>
        <v>64635</v>
      </c>
      <c r="J46" s="111">
        <f t="shared" si="14"/>
        <v>64999</v>
      </c>
      <c r="K46" s="111">
        <f t="shared" si="14"/>
        <v>66244</v>
      </c>
      <c r="L46" s="111">
        <f t="shared" si="14"/>
        <v>0</v>
      </c>
      <c r="M46" s="111">
        <f t="shared" si="14"/>
        <v>67834</v>
      </c>
      <c r="N46" s="111">
        <f t="shared" si="14"/>
        <v>79872</v>
      </c>
      <c r="O46" s="111">
        <v>96743</v>
      </c>
      <c r="P46" s="111">
        <f>P45</f>
        <v>87774</v>
      </c>
      <c r="Q46" s="111"/>
      <c r="R46" s="111">
        <v>100242</v>
      </c>
      <c r="S46" s="111">
        <v>176716</v>
      </c>
      <c r="T46" s="111">
        <v>175219</v>
      </c>
      <c r="U46" s="111">
        <v>176732</v>
      </c>
      <c r="V46" s="111"/>
      <c r="W46" s="111">
        <v>178787</v>
      </c>
      <c r="X46" s="111">
        <v>180881</v>
      </c>
      <c r="Y46" s="111">
        <v>182392</v>
      </c>
      <c r="Z46" s="111">
        <v>182244</v>
      </c>
      <c r="AA46" s="111"/>
      <c r="AB46" s="111">
        <v>183148</v>
      </c>
      <c r="AC46" s="111">
        <v>176007</v>
      </c>
      <c r="AD46" s="111">
        <v>181654</v>
      </c>
      <c r="AE46" s="111">
        <v>177642</v>
      </c>
      <c r="AF46" s="111"/>
      <c r="AG46" s="111">
        <v>177857</v>
      </c>
      <c r="AH46" s="111">
        <v>165845</v>
      </c>
      <c r="AI46" s="111">
        <v>171405</v>
      </c>
      <c r="AJ46" s="111">
        <v>172423</v>
      </c>
      <c r="AK46" s="177"/>
      <c r="AL46" s="111">
        <v>173053</v>
      </c>
      <c r="AM46" s="111">
        <v>171129</v>
      </c>
      <c r="AN46" s="206"/>
      <c r="AO46" s="111">
        <f>AO45</f>
        <v>38826</v>
      </c>
      <c r="AP46" s="111">
        <f t="shared" ref="AP46:AQ46" si="15">AP45</f>
        <v>38826</v>
      </c>
      <c r="AQ46" s="111">
        <f t="shared" si="15"/>
        <v>58676</v>
      </c>
      <c r="AR46" s="111">
        <f>AR45</f>
        <v>79835</v>
      </c>
      <c r="AS46" s="111">
        <v>177054</v>
      </c>
      <c r="AT46" s="111">
        <v>181353</v>
      </c>
      <c r="AU46" s="111">
        <v>181721</v>
      </c>
      <c r="AV46" s="111">
        <v>168636</v>
      </c>
    </row>
    <row r="47" spans="1:50" ht="5.25" customHeight="1">
      <c r="A47" s="124"/>
      <c r="B47" s="66"/>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77"/>
      <c r="AL47" s="111"/>
      <c r="AM47" s="111"/>
      <c r="AN47" s="206"/>
      <c r="AO47" s="111"/>
      <c r="AP47" s="111"/>
      <c r="AQ47" s="111"/>
      <c r="AR47" s="111"/>
      <c r="AS47" s="111"/>
      <c r="AT47" s="111"/>
      <c r="AU47" s="111"/>
      <c r="AV47" s="111">
        <f>SUM(AG47:AJ47)</f>
        <v>0</v>
      </c>
    </row>
    <row r="48" spans="1:50" s="146" customFormat="1">
      <c r="A48" s="146" t="s">
        <v>152</v>
      </c>
      <c r="C48" s="147"/>
      <c r="D48" s="147"/>
      <c r="E48" s="147"/>
      <c r="F48" s="147"/>
      <c r="G48" s="148"/>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9"/>
      <c r="AL48" s="147"/>
      <c r="AM48" s="147"/>
      <c r="AN48" s="149"/>
      <c r="AO48" s="147"/>
      <c r="AP48" s="147"/>
      <c r="AQ48" s="147"/>
      <c r="AR48" s="147"/>
      <c r="AS48" s="147"/>
      <c r="AT48" s="147"/>
      <c r="AU48" s="147"/>
      <c r="AV48" s="147"/>
    </row>
    <row r="49" spans="1:50" s="146" customFormat="1" ht="11">
      <c r="A49" s="150" t="s">
        <v>205</v>
      </c>
      <c r="C49" s="147"/>
      <c r="D49" s="147"/>
      <c r="E49" s="147"/>
      <c r="F49" s="147"/>
      <c r="G49" s="148"/>
      <c r="H49" s="147"/>
      <c r="I49" s="147"/>
      <c r="J49" s="147"/>
      <c r="K49" s="147"/>
      <c r="L49" s="147"/>
      <c r="M49" s="147"/>
      <c r="N49" s="147"/>
      <c r="O49" s="147"/>
      <c r="P49" s="147"/>
      <c r="Q49" s="147"/>
      <c r="R49" s="147"/>
      <c r="S49" s="147"/>
      <c r="T49" s="147"/>
      <c r="U49" s="147"/>
      <c r="V49" s="147"/>
      <c r="W49" s="147"/>
      <c r="X49" s="147"/>
      <c r="Y49" s="147"/>
      <c r="Z49" s="147"/>
      <c r="AA49" s="147"/>
      <c r="AB49" s="147"/>
      <c r="AC49" s="151">
        <v>0.2</v>
      </c>
      <c r="AD49" s="151">
        <v>0.1</v>
      </c>
      <c r="AE49" s="151">
        <v>0.1</v>
      </c>
      <c r="AF49" s="151"/>
      <c r="AG49" s="151">
        <v>0.1</v>
      </c>
      <c r="AH49" s="151">
        <v>0.2</v>
      </c>
      <c r="AI49" s="151">
        <v>0.2</v>
      </c>
      <c r="AJ49" s="151">
        <v>0.2</v>
      </c>
      <c r="AK49" s="149"/>
      <c r="AL49" s="151">
        <v>0.2</v>
      </c>
      <c r="AM49" s="151">
        <v>0.2</v>
      </c>
      <c r="AN49" s="149"/>
      <c r="AO49" s="147"/>
      <c r="AP49" s="147"/>
      <c r="AQ49" s="147"/>
      <c r="AR49" s="147"/>
      <c r="AS49" s="147"/>
      <c r="AT49" s="147"/>
      <c r="AU49" s="151">
        <f>SUM(AB49:AE49)</f>
        <v>0.4</v>
      </c>
      <c r="AV49" s="151">
        <f>SUM(AG49:AJ49)</f>
        <v>0.7</v>
      </c>
    </row>
    <row r="50" spans="1:50" s="146" customFormat="1" ht="11">
      <c r="A50" s="150" t="s">
        <v>61</v>
      </c>
      <c r="C50" s="151">
        <v>2.2999999999999998</v>
      </c>
      <c r="D50" s="151">
        <v>2.2000000000000002</v>
      </c>
      <c r="E50" s="151">
        <v>2.7</v>
      </c>
      <c r="F50" s="151">
        <f>AP50-C50-D50-E50</f>
        <v>3.2000000000000011</v>
      </c>
      <c r="G50" s="152"/>
      <c r="H50" s="151">
        <v>3.8</v>
      </c>
      <c r="I50" s="151">
        <v>4.3</v>
      </c>
      <c r="J50" s="151">
        <v>4.4000000000000004</v>
      </c>
      <c r="K50" s="151">
        <v>5.7</v>
      </c>
      <c r="L50" s="151"/>
      <c r="M50" s="151">
        <v>5.5</v>
      </c>
      <c r="N50" s="151">
        <v>4.4000000000000004</v>
      </c>
      <c r="O50" s="151">
        <v>7</v>
      </c>
      <c r="P50" s="151">
        <v>6.3</v>
      </c>
      <c r="Q50" s="151"/>
      <c r="R50" s="151">
        <v>8.4</v>
      </c>
      <c r="S50" s="151">
        <v>8.9</v>
      </c>
      <c r="T50" s="151">
        <v>9.3000000000000007</v>
      </c>
      <c r="U50" s="151">
        <v>10.5</v>
      </c>
      <c r="V50" s="151"/>
      <c r="W50" s="151">
        <v>13.7</v>
      </c>
      <c r="X50" s="151">
        <v>13.6</v>
      </c>
      <c r="Y50" s="151">
        <v>14.5</v>
      </c>
      <c r="Z50" s="151">
        <v>16</v>
      </c>
      <c r="AA50" s="151"/>
      <c r="AB50" s="151">
        <v>20</v>
      </c>
      <c r="AC50" s="147">
        <v>20.3</v>
      </c>
      <c r="AD50" s="147">
        <v>10.6</v>
      </c>
      <c r="AE50" s="147">
        <v>19.399999999999999</v>
      </c>
      <c r="AF50" s="147"/>
      <c r="AG50" s="147">
        <v>21.1</v>
      </c>
      <c r="AH50" s="147">
        <v>22</v>
      </c>
      <c r="AI50" s="147">
        <v>22.5</v>
      </c>
      <c r="AJ50" s="147">
        <v>24.6</v>
      </c>
      <c r="AK50" s="153"/>
      <c r="AL50" s="147">
        <v>27</v>
      </c>
      <c r="AM50" s="147">
        <v>27.9</v>
      </c>
      <c r="AN50" s="153"/>
      <c r="AO50" s="151">
        <v>4.7</v>
      </c>
      <c r="AP50" s="151">
        <v>10.4</v>
      </c>
      <c r="AQ50" s="151">
        <v>18.2</v>
      </c>
      <c r="AR50" s="151">
        <f>SUM(M50:P50)</f>
        <v>23.2</v>
      </c>
      <c r="AS50" s="151">
        <f t="shared" ref="AS50:AS59" si="16">SUM(R50:U50)</f>
        <v>37.1</v>
      </c>
      <c r="AT50" s="151">
        <f>SUM(W50:Z50)</f>
        <v>57.8</v>
      </c>
      <c r="AU50" s="147">
        <f>SUM(AB50:AE50)</f>
        <v>70.3</v>
      </c>
      <c r="AV50" s="147">
        <f>SUM(AG50:AJ50)</f>
        <v>90.199999999999989</v>
      </c>
      <c r="AX50" s="154"/>
    </row>
    <row r="51" spans="1:50" s="146" customFormat="1" ht="11">
      <c r="A51" s="150" t="s">
        <v>62</v>
      </c>
      <c r="C51" s="147">
        <v>1</v>
      </c>
      <c r="D51" s="147">
        <v>0.7</v>
      </c>
      <c r="E51" s="147">
        <v>3.4</v>
      </c>
      <c r="F51" s="147">
        <f>AP51-C51-D51-E51</f>
        <v>0.99999999999999956</v>
      </c>
      <c r="G51" s="148"/>
      <c r="H51" s="147">
        <v>1.3</v>
      </c>
      <c r="I51" s="147">
        <v>1.7</v>
      </c>
      <c r="J51" s="147">
        <v>1.5</v>
      </c>
      <c r="K51" s="147">
        <v>1.6</v>
      </c>
      <c r="L51" s="147"/>
      <c r="M51" s="147">
        <v>1.9</v>
      </c>
      <c r="N51" s="147">
        <v>1.6</v>
      </c>
      <c r="O51" s="147">
        <v>2.2999999999999998</v>
      </c>
      <c r="P51" s="147">
        <v>2.2999999999999998</v>
      </c>
      <c r="Q51" s="147"/>
      <c r="R51" s="147">
        <v>1.7</v>
      </c>
      <c r="S51" s="147">
        <v>1.5</v>
      </c>
      <c r="T51" s="147">
        <v>2</v>
      </c>
      <c r="U51" s="147">
        <v>2.1</v>
      </c>
      <c r="V51" s="147"/>
      <c r="W51" s="147">
        <v>2.9</v>
      </c>
      <c r="X51" s="147">
        <v>2.1</v>
      </c>
      <c r="Y51" s="147">
        <v>2.4</v>
      </c>
      <c r="Z51" s="147">
        <v>2.9</v>
      </c>
      <c r="AA51" s="147"/>
      <c r="AB51" s="147">
        <v>4.3</v>
      </c>
      <c r="AC51" s="147">
        <v>4.0999999999999996</v>
      </c>
      <c r="AD51" s="147">
        <v>2.2999999999999998</v>
      </c>
      <c r="AE51" s="147">
        <v>4.7</v>
      </c>
      <c r="AF51" s="147"/>
      <c r="AG51" s="147">
        <v>4.5999999999999996</v>
      </c>
      <c r="AH51" s="147">
        <v>5.4</v>
      </c>
      <c r="AI51" s="147">
        <v>5.7</v>
      </c>
      <c r="AJ51" s="147">
        <v>6</v>
      </c>
      <c r="AK51" s="149"/>
      <c r="AL51" s="147">
        <v>6.2</v>
      </c>
      <c r="AM51" s="147">
        <v>7</v>
      </c>
      <c r="AN51" s="149"/>
      <c r="AO51" s="147">
        <v>2.6</v>
      </c>
      <c r="AP51" s="147">
        <v>6.1</v>
      </c>
      <c r="AQ51" s="147">
        <v>6.1</v>
      </c>
      <c r="AR51" s="147">
        <f>SUM(M51:P51)</f>
        <v>8.1</v>
      </c>
      <c r="AS51" s="147">
        <f t="shared" si="16"/>
        <v>7.3000000000000007</v>
      </c>
      <c r="AT51" s="147">
        <f t="shared" ref="AT51:AT63" si="17">SUM(W51:Z51)</f>
        <v>10.3</v>
      </c>
      <c r="AU51" s="147">
        <f t="shared" ref="AU51:AU63" si="18">SUM(AB51:AE51)</f>
        <v>15.399999999999999</v>
      </c>
      <c r="AV51" s="147">
        <f>SUM(AG51:AJ51)</f>
        <v>21.7</v>
      </c>
      <c r="AX51" s="154"/>
    </row>
    <row r="52" spans="1:50" s="146" customFormat="1" ht="11">
      <c r="A52" s="150" t="s">
        <v>63</v>
      </c>
      <c r="C52" s="147">
        <v>0.1</v>
      </c>
      <c r="D52" s="147">
        <v>0.2</v>
      </c>
      <c r="E52" s="147">
        <v>0.2</v>
      </c>
      <c r="F52" s="147">
        <f>AP52-C52-D52-E52</f>
        <v>0.3</v>
      </c>
      <c r="G52" s="148"/>
      <c r="H52" s="147">
        <v>0.3</v>
      </c>
      <c r="I52" s="147">
        <v>0.9</v>
      </c>
      <c r="J52" s="147">
        <v>0.9</v>
      </c>
      <c r="K52" s="147">
        <v>0.8</v>
      </c>
      <c r="L52" s="147"/>
      <c r="M52" s="147">
        <v>0.8</v>
      </c>
      <c r="N52" s="147">
        <v>0.6</v>
      </c>
      <c r="O52" s="147">
        <v>1.6</v>
      </c>
      <c r="P52" s="147">
        <v>0.9</v>
      </c>
      <c r="Q52" s="147"/>
      <c r="R52" s="147">
        <v>0.4</v>
      </c>
      <c r="S52" s="147">
        <v>1.2</v>
      </c>
      <c r="T52" s="147">
        <v>1</v>
      </c>
      <c r="U52" s="147">
        <v>1</v>
      </c>
      <c r="V52" s="147"/>
      <c r="W52" s="147">
        <v>1.2</v>
      </c>
      <c r="X52" s="147">
        <v>1.3</v>
      </c>
      <c r="Y52" s="147">
        <v>1.4</v>
      </c>
      <c r="Z52" s="147">
        <v>2.2999999999999998</v>
      </c>
      <c r="AA52" s="147"/>
      <c r="AB52" s="147">
        <v>2.6</v>
      </c>
      <c r="AC52" s="147">
        <v>2.6</v>
      </c>
      <c r="AD52" s="147">
        <v>1.5</v>
      </c>
      <c r="AE52" s="147">
        <v>2.6</v>
      </c>
      <c r="AF52" s="147"/>
      <c r="AG52" s="147">
        <v>2.6</v>
      </c>
      <c r="AH52" s="147">
        <v>3.3</v>
      </c>
      <c r="AI52" s="147">
        <v>2.6</v>
      </c>
      <c r="AJ52" s="147">
        <v>3.5</v>
      </c>
      <c r="AK52" s="147"/>
      <c r="AL52" s="147">
        <v>3</v>
      </c>
      <c r="AM52" s="147">
        <v>3.7</v>
      </c>
      <c r="AN52" s="147"/>
      <c r="AO52" s="147">
        <v>0.6</v>
      </c>
      <c r="AP52" s="147">
        <v>0.8</v>
      </c>
      <c r="AQ52" s="147">
        <v>2.9</v>
      </c>
      <c r="AR52" s="147">
        <f>SUM(M52:P52)</f>
        <v>3.9</v>
      </c>
      <c r="AS52" s="147">
        <f t="shared" si="16"/>
        <v>3.6</v>
      </c>
      <c r="AT52" s="147">
        <f t="shared" si="17"/>
        <v>6.1999999999999993</v>
      </c>
      <c r="AU52" s="147">
        <f t="shared" si="18"/>
        <v>9.3000000000000007</v>
      </c>
      <c r="AV52" s="147">
        <f>SUM(AG52:AJ52)</f>
        <v>12</v>
      </c>
      <c r="AX52" s="154"/>
    </row>
    <row r="53" spans="1:50" s="146" customFormat="1" ht="11">
      <c r="A53" s="150" t="s">
        <v>12</v>
      </c>
      <c r="C53" s="147">
        <v>3.4</v>
      </c>
      <c r="D53" s="147">
        <v>2.9</v>
      </c>
      <c r="E53" s="147">
        <v>3.1</v>
      </c>
      <c r="F53" s="147">
        <f>AP53-C53-D53-E53</f>
        <v>3.4</v>
      </c>
      <c r="G53" s="148"/>
      <c r="H53" s="147">
        <v>3.3</v>
      </c>
      <c r="I53" s="147">
        <v>2.9</v>
      </c>
      <c r="J53" s="147">
        <v>3.2</v>
      </c>
      <c r="K53" s="147">
        <v>3.8</v>
      </c>
      <c r="L53" s="147"/>
      <c r="M53" s="147">
        <v>3.8</v>
      </c>
      <c r="N53" s="147">
        <v>4.2</v>
      </c>
      <c r="O53" s="147">
        <v>6.6</v>
      </c>
      <c r="P53" s="147">
        <v>7</v>
      </c>
      <c r="Q53" s="147"/>
      <c r="R53" s="147">
        <v>5.9</v>
      </c>
      <c r="S53" s="147">
        <v>7.4</v>
      </c>
      <c r="T53" s="147">
        <v>7.5</v>
      </c>
      <c r="U53" s="147">
        <v>7.6</v>
      </c>
      <c r="V53" s="147"/>
      <c r="W53" s="147">
        <v>13.7</v>
      </c>
      <c r="X53" s="147">
        <v>11.2</v>
      </c>
      <c r="Y53" s="147">
        <v>12.3</v>
      </c>
      <c r="Z53" s="147">
        <v>14</v>
      </c>
      <c r="AA53" s="147"/>
      <c r="AB53" s="147">
        <v>20</v>
      </c>
      <c r="AC53" s="147">
        <v>14.4</v>
      </c>
      <c r="AD53" s="147">
        <v>3.2</v>
      </c>
      <c r="AE53" s="147">
        <v>14</v>
      </c>
      <c r="AF53" s="147"/>
      <c r="AG53" s="147">
        <v>17</v>
      </c>
      <c r="AH53" s="147">
        <v>17.7</v>
      </c>
      <c r="AI53" s="147">
        <v>17.100000000000001</v>
      </c>
      <c r="AJ53" s="147">
        <v>15.1</v>
      </c>
      <c r="AK53" s="147"/>
      <c r="AL53" s="147">
        <v>16.2</v>
      </c>
      <c r="AM53" s="147">
        <v>12.6</v>
      </c>
      <c r="AN53" s="147"/>
      <c r="AO53" s="147">
        <v>8.5</v>
      </c>
      <c r="AP53" s="147">
        <v>12.8</v>
      </c>
      <c r="AQ53" s="147">
        <v>13.2</v>
      </c>
      <c r="AR53" s="147">
        <f>SUM(M53:P53)</f>
        <v>21.6</v>
      </c>
      <c r="AS53" s="147">
        <f t="shared" si="16"/>
        <v>28.4</v>
      </c>
      <c r="AT53" s="147">
        <f t="shared" si="17"/>
        <v>51.2</v>
      </c>
      <c r="AU53" s="147">
        <f t="shared" si="18"/>
        <v>51.6</v>
      </c>
      <c r="AV53" s="147">
        <f>SUM(AG53:AJ53)</f>
        <v>66.900000000000006</v>
      </c>
      <c r="AX53" s="154"/>
    </row>
    <row r="54" spans="1:50" ht="5.25" customHeight="1"/>
    <row r="55" spans="1:50" s="146" customFormat="1">
      <c r="A55" s="146" t="s">
        <v>154</v>
      </c>
      <c r="B55" s="159"/>
      <c r="C55" s="151">
        <v>1.5</v>
      </c>
      <c r="D55" s="151">
        <v>1</v>
      </c>
      <c r="E55" s="151">
        <v>1.4</v>
      </c>
      <c r="F55" s="151">
        <v>1.1000000000000001</v>
      </c>
      <c r="G55" s="152">
        <v>0</v>
      </c>
      <c r="H55" s="151">
        <v>1.7</v>
      </c>
      <c r="I55" s="151">
        <v>0.8</v>
      </c>
      <c r="J55" s="151">
        <v>0.8</v>
      </c>
      <c r="K55" s="151">
        <v>0.9</v>
      </c>
      <c r="L55" s="151">
        <v>0</v>
      </c>
      <c r="M55" s="151">
        <v>0.4</v>
      </c>
      <c r="N55" s="151">
        <v>0.8</v>
      </c>
      <c r="O55" s="151">
        <v>1.4</v>
      </c>
      <c r="P55" s="151">
        <v>10.5</v>
      </c>
      <c r="Q55" s="151"/>
      <c r="R55" s="151">
        <v>3.5</v>
      </c>
      <c r="S55" s="151">
        <v>13.7</v>
      </c>
      <c r="T55" s="151">
        <v>3.6</v>
      </c>
      <c r="U55" s="151">
        <v>6.2</v>
      </c>
      <c r="V55" s="151"/>
      <c r="W55" s="151">
        <v>6.3</v>
      </c>
      <c r="X55" s="151">
        <v>10.199999999999999</v>
      </c>
      <c r="Y55" s="151">
        <v>9.1999999999999993</v>
      </c>
      <c r="Z55" s="151">
        <v>7</v>
      </c>
      <c r="AA55" s="151"/>
      <c r="AB55" s="151">
        <v>2.6</v>
      </c>
      <c r="AC55" s="151">
        <v>2.6</v>
      </c>
      <c r="AD55" s="151">
        <v>1.5</v>
      </c>
      <c r="AE55" s="151">
        <v>2.7</v>
      </c>
      <c r="AF55" s="151"/>
      <c r="AG55" s="151">
        <v>9.9</v>
      </c>
      <c r="AH55" s="151">
        <v>4.5999999999999996</v>
      </c>
      <c r="AI55" s="197">
        <v>5.2</v>
      </c>
      <c r="AJ55" s="197">
        <v>5.3</v>
      </c>
      <c r="AK55" s="153"/>
      <c r="AL55" s="151">
        <v>16.3</v>
      </c>
      <c r="AM55" s="197">
        <v>4.2</v>
      </c>
      <c r="AN55" s="153"/>
      <c r="AO55" s="151">
        <v>9.2999999999999989</v>
      </c>
      <c r="AP55" s="151">
        <v>5</v>
      </c>
      <c r="AQ55" s="151">
        <v>4.2</v>
      </c>
      <c r="AR55" s="151">
        <v>13.1</v>
      </c>
      <c r="AS55" s="151">
        <f t="shared" si="16"/>
        <v>27</v>
      </c>
      <c r="AT55" s="151">
        <f t="shared" si="17"/>
        <v>32.700000000000003</v>
      </c>
      <c r="AU55" s="151">
        <f t="shared" si="18"/>
        <v>9.4</v>
      </c>
      <c r="AV55" s="151">
        <f>SUM(AG55:AJ55)</f>
        <v>25</v>
      </c>
    </row>
    <row r="56" spans="1:50" s="146" customFormat="1" ht="5.25" customHeight="1">
      <c r="B56" s="159"/>
      <c r="C56" s="151"/>
      <c r="D56" s="151"/>
      <c r="E56" s="151"/>
      <c r="F56" s="151"/>
      <c r="G56" s="152"/>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3"/>
      <c r="AL56" s="151"/>
      <c r="AM56" s="151"/>
      <c r="AN56" s="153"/>
      <c r="AO56" s="151"/>
      <c r="AP56" s="151"/>
      <c r="AQ56" s="151"/>
      <c r="AR56" s="151"/>
      <c r="AS56" s="151"/>
      <c r="AT56" s="151"/>
      <c r="AU56" s="151"/>
      <c r="AV56" s="151"/>
    </row>
    <row r="57" spans="1:50" s="146" customFormat="1" hidden="1" outlineLevel="1">
      <c r="A57" s="146" t="s">
        <v>155</v>
      </c>
      <c r="B57" s="159"/>
      <c r="C57" s="151">
        <v>0</v>
      </c>
      <c r="D57" s="151">
        <v>0</v>
      </c>
      <c r="E57" s="151">
        <v>0</v>
      </c>
      <c r="F57" s="151">
        <v>0</v>
      </c>
      <c r="G57" s="151">
        <v>0</v>
      </c>
      <c r="H57" s="151">
        <v>0</v>
      </c>
      <c r="I57" s="151">
        <f>29.7</f>
        <v>29.7</v>
      </c>
      <c r="J57" s="151">
        <v>0</v>
      </c>
      <c r="K57" s="151">
        <v>0</v>
      </c>
      <c r="L57" s="151">
        <v>0</v>
      </c>
      <c r="M57" s="151">
        <v>0</v>
      </c>
      <c r="N57" s="151">
        <v>0</v>
      </c>
      <c r="O57" s="151">
        <v>0</v>
      </c>
      <c r="P57" s="151">
        <v>0</v>
      </c>
      <c r="Q57" s="151"/>
      <c r="R57" s="151">
        <v>0</v>
      </c>
      <c r="S57" s="151">
        <v>0</v>
      </c>
      <c r="T57" s="151">
        <v>0</v>
      </c>
      <c r="U57" s="151">
        <v>0</v>
      </c>
      <c r="V57" s="151"/>
      <c r="W57" s="151">
        <v>0</v>
      </c>
      <c r="X57" s="151">
        <v>0</v>
      </c>
      <c r="Y57" s="151">
        <v>0</v>
      </c>
      <c r="Z57" s="151">
        <v>0</v>
      </c>
      <c r="AA57" s="151"/>
      <c r="AB57" s="151">
        <v>0</v>
      </c>
      <c r="AC57" s="151">
        <v>0</v>
      </c>
      <c r="AD57" s="151">
        <v>0</v>
      </c>
      <c r="AE57" s="151">
        <v>0</v>
      </c>
      <c r="AF57" s="151"/>
      <c r="AG57" s="151">
        <v>0</v>
      </c>
      <c r="AH57" s="151">
        <v>0</v>
      </c>
      <c r="AI57" s="151">
        <v>0</v>
      </c>
      <c r="AJ57" s="151">
        <v>0</v>
      </c>
      <c r="AK57" s="153"/>
      <c r="AL57" s="151">
        <v>0</v>
      </c>
      <c r="AM57" s="151">
        <v>0</v>
      </c>
      <c r="AN57" s="153"/>
      <c r="AO57" s="151">
        <v>0</v>
      </c>
      <c r="AP57" s="151">
        <v>0</v>
      </c>
      <c r="AQ57" s="151">
        <f>29.7</f>
        <v>29.7</v>
      </c>
      <c r="AR57" s="151">
        <v>0</v>
      </c>
      <c r="AS57" s="151">
        <f t="shared" si="16"/>
        <v>0</v>
      </c>
      <c r="AT57" s="151">
        <f t="shared" si="17"/>
        <v>0</v>
      </c>
      <c r="AU57" s="151">
        <f t="shared" si="18"/>
        <v>0</v>
      </c>
      <c r="AV57" s="151">
        <f>SUM(AG57:AJ57)</f>
        <v>0</v>
      </c>
    </row>
    <row r="58" spans="1:50" ht="5.25" hidden="1" customHeight="1" outlineLevel="1">
      <c r="AQ58" s="98"/>
    </row>
    <row r="59" spans="1:50" s="146" customFormat="1" hidden="1" outlineLevel="1">
      <c r="A59" s="146" t="s">
        <v>157</v>
      </c>
      <c r="B59" s="162"/>
      <c r="C59" s="151">
        <v>0</v>
      </c>
      <c r="D59" s="151">
        <v>0</v>
      </c>
      <c r="E59" s="151">
        <v>0</v>
      </c>
      <c r="F59" s="151">
        <v>0</v>
      </c>
      <c r="G59" s="151">
        <v>0</v>
      </c>
      <c r="H59" s="151">
        <v>0</v>
      </c>
      <c r="I59" s="151">
        <v>0</v>
      </c>
      <c r="J59" s="151">
        <v>0</v>
      </c>
      <c r="K59" s="151">
        <v>0</v>
      </c>
      <c r="L59" s="151">
        <v>0</v>
      </c>
      <c r="M59" s="151">
        <v>0</v>
      </c>
      <c r="N59" s="151">
        <v>0</v>
      </c>
      <c r="O59" s="151">
        <v>0</v>
      </c>
      <c r="P59" s="151">
        <v>0</v>
      </c>
      <c r="Q59" s="151"/>
      <c r="R59" s="151">
        <v>3.2</v>
      </c>
      <c r="S59" s="151">
        <v>0</v>
      </c>
      <c r="T59" s="151">
        <v>0</v>
      </c>
      <c r="U59" s="151">
        <v>0.1</v>
      </c>
      <c r="V59" s="151"/>
      <c r="W59" s="151">
        <v>0</v>
      </c>
      <c r="X59" s="151">
        <v>0</v>
      </c>
      <c r="Y59" s="151">
        <v>0</v>
      </c>
      <c r="Z59" s="151">
        <v>0</v>
      </c>
      <c r="AA59" s="151"/>
      <c r="AB59" s="151">
        <v>0</v>
      </c>
      <c r="AC59" s="151">
        <v>0</v>
      </c>
      <c r="AD59" s="151">
        <v>0</v>
      </c>
      <c r="AE59" s="151">
        <v>0</v>
      </c>
      <c r="AF59" s="151"/>
      <c r="AG59" s="151">
        <v>0</v>
      </c>
      <c r="AH59" s="151">
        <v>0</v>
      </c>
      <c r="AI59" s="151">
        <v>0</v>
      </c>
      <c r="AJ59" s="151">
        <v>0</v>
      </c>
      <c r="AK59" s="153"/>
      <c r="AL59" s="151">
        <v>0</v>
      </c>
      <c r="AM59" s="151">
        <v>0</v>
      </c>
      <c r="AN59" s="153"/>
      <c r="AO59" s="151">
        <v>0</v>
      </c>
      <c r="AP59" s="151">
        <v>0</v>
      </c>
      <c r="AQ59" s="151">
        <v>0</v>
      </c>
      <c r="AR59" s="151">
        <v>0</v>
      </c>
      <c r="AS59" s="151">
        <f t="shared" si="16"/>
        <v>3.3000000000000003</v>
      </c>
      <c r="AT59" s="151">
        <f t="shared" si="17"/>
        <v>0</v>
      </c>
      <c r="AU59" s="151">
        <f t="shared" si="18"/>
        <v>0</v>
      </c>
      <c r="AV59" s="151">
        <f>SUM(AG59:AJ59)</f>
        <v>0</v>
      </c>
    </row>
    <row r="60" spans="1:50" ht="5.25" hidden="1" customHeight="1" outlineLevel="1">
      <c r="AQ60" s="98"/>
    </row>
    <row r="61" spans="1:50" s="146" customFormat="1" hidden="1" outlineLevel="1">
      <c r="A61" s="146" t="s">
        <v>186</v>
      </c>
      <c r="B61" s="179"/>
      <c r="C61" s="151">
        <v>0</v>
      </c>
      <c r="D61" s="151">
        <v>0</v>
      </c>
      <c r="E61" s="151">
        <v>0</v>
      </c>
      <c r="F61" s="151">
        <v>0</v>
      </c>
      <c r="G61" s="151">
        <v>0</v>
      </c>
      <c r="H61" s="151">
        <v>0</v>
      </c>
      <c r="I61" s="151">
        <v>0</v>
      </c>
      <c r="J61" s="151">
        <v>0</v>
      </c>
      <c r="K61" s="151">
        <v>0</v>
      </c>
      <c r="L61" s="151">
        <v>0</v>
      </c>
      <c r="M61" s="151">
        <v>0</v>
      </c>
      <c r="N61" s="151">
        <v>0</v>
      </c>
      <c r="O61" s="151">
        <v>0</v>
      </c>
      <c r="P61" s="151">
        <v>0</v>
      </c>
      <c r="Q61" s="151"/>
      <c r="R61" s="151">
        <v>0</v>
      </c>
      <c r="S61" s="151">
        <v>0</v>
      </c>
      <c r="T61" s="151">
        <v>0</v>
      </c>
      <c r="U61" s="151">
        <v>11.7</v>
      </c>
      <c r="V61" s="151"/>
      <c r="W61" s="151">
        <v>0</v>
      </c>
      <c r="X61" s="151">
        <v>0</v>
      </c>
      <c r="Y61" s="151">
        <v>0</v>
      </c>
      <c r="Z61" s="151">
        <v>0</v>
      </c>
      <c r="AA61" s="151"/>
      <c r="AB61" s="151">
        <v>0</v>
      </c>
      <c r="AC61" s="151">
        <v>0</v>
      </c>
      <c r="AD61" s="151">
        <v>0</v>
      </c>
      <c r="AE61" s="151">
        <v>0</v>
      </c>
      <c r="AF61" s="151"/>
      <c r="AG61" s="151">
        <v>0</v>
      </c>
      <c r="AH61" s="151">
        <v>0</v>
      </c>
      <c r="AI61" s="151">
        <v>0</v>
      </c>
      <c r="AJ61" s="151">
        <v>0</v>
      </c>
      <c r="AK61" s="153"/>
      <c r="AL61" s="151">
        <v>0</v>
      </c>
      <c r="AM61" s="151">
        <v>0</v>
      </c>
      <c r="AN61" s="153"/>
      <c r="AO61" s="151">
        <v>0</v>
      </c>
      <c r="AP61" s="151">
        <v>0</v>
      </c>
      <c r="AQ61" s="151">
        <v>0</v>
      </c>
      <c r="AR61" s="151">
        <v>0</v>
      </c>
      <c r="AS61" s="151">
        <f t="shared" ref="AS61" si="19">SUM(R61:U61)</f>
        <v>11.7</v>
      </c>
      <c r="AT61" s="151">
        <f t="shared" si="17"/>
        <v>0</v>
      </c>
      <c r="AU61" s="151">
        <f t="shared" si="18"/>
        <v>0</v>
      </c>
      <c r="AV61" s="151">
        <f>SUM(AG61:AJ61)</f>
        <v>0</v>
      </c>
    </row>
    <row r="62" spans="1:50" s="146" customFormat="1" ht="6" hidden="1" customHeight="1" outlineLevel="1">
      <c r="B62" s="179"/>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3"/>
      <c r="AL62" s="151"/>
      <c r="AM62" s="151"/>
      <c r="AN62" s="153"/>
      <c r="AO62" s="151"/>
      <c r="AP62" s="151"/>
      <c r="AQ62" s="151"/>
      <c r="AR62" s="151"/>
      <c r="AS62" s="151"/>
      <c r="AT62" s="151"/>
      <c r="AU62" s="151"/>
      <c r="AV62" s="151"/>
    </row>
    <row r="63" spans="1:50" s="146" customFormat="1" hidden="1" outlineLevel="1">
      <c r="A63" s="146" t="s">
        <v>191</v>
      </c>
      <c r="B63" s="179"/>
      <c r="C63" s="151">
        <v>0</v>
      </c>
      <c r="D63" s="151">
        <v>0</v>
      </c>
      <c r="E63" s="151">
        <v>0</v>
      </c>
      <c r="F63" s="151">
        <v>0</v>
      </c>
      <c r="G63" s="151">
        <v>0</v>
      </c>
      <c r="H63" s="151">
        <v>0</v>
      </c>
      <c r="I63" s="151">
        <v>0</v>
      </c>
      <c r="J63" s="151">
        <v>0</v>
      </c>
      <c r="K63" s="151">
        <v>0</v>
      </c>
      <c r="L63" s="151">
        <v>0</v>
      </c>
      <c r="M63" s="151">
        <v>0</v>
      </c>
      <c r="N63" s="151">
        <v>0</v>
      </c>
      <c r="O63" s="151">
        <v>0</v>
      </c>
      <c r="P63" s="151">
        <v>0</v>
      </c>
      <c r="Q63" s="151"/>
      <c r="R63" s="151">
        <v>0</v>
      </c>
      <c r="S63" s="151">
        <v>0</v>
      </c>
      <c r="T63" s="151">
        <v>36.700000000000003</v>
      </c>
      <c r="U63" s="151">
        <v>-3.5</v>
      </c>
      <c r="V63" s="151"/>
      <c r="W63" s="151">
        <v>0</v>
      </c>
      <c r="X63" s="151">
        <v>0</v>
      </c>
      <c r="Y63" s="151">
        <v>0</v>
      </c>
      <c r="Z63" s="151">
        <v>0</v>
      </c>
      <c r="AA63" s="151"/>
      <c r="AB63" s="151">
        <v>0</v>
      </c>
      <c r="AC63" s="151">
        <v>0</v>
      </c>
      <c r="AD63" s="151">
        <v>0</v>
      </c>
      <c r="AE63" s="151">
        <v>0</v>
      </c>
      <c r="AF63" s="151"/>
      <c r="AG63" s="151">
        <v>0</v>
      </c>
      <c r="AH63" s="151">
        <v>0</v>
      </c>
      <c r="AI63" s="151">
        <v>0</v>
      </c>
      <c r="AJ63" s="151">
        <v>0</v>
      </c>
      <c r="AK63" s="153"/>
      <c r="AL63" s="151">
        <v>0</v>
      </c>
      <c r="AM63" s="151">
        <v>0</v>
      </c>
      <c r="AN63" s="153"/>
      <c r="AO63" s="151">
        <v>0</v>
      </c>
      <c r="AP63" s="151">
        <v>0</v>
      </c>
      <c r="AQ63" s="151">
        <v>0</v>
      </c>
      <c r="AR63" s="151">
        <v>0</v>
      </c>
      <c r="AS63" s="151">
        <f t="shared" ref="AS63" si="20">SUM(R63:U63)</f>
        <v>33.200000000000003</v>
      </c>
      <c r="AT63" s="151">
        <f t="shared" si="17"/>
        <v>0</v>
      </c>
      <c r="AU63" s="151">
        <f t="shared" si="18"/>
        <v>0</v>
      </c>
      <c r="AV63" s="151">
        <f>SUM(AG63:AJ63)</f>
        <v>0</v>
      </c>
    </row>
    <row r="64" spans="1:50" s="146" customFormat="1" ht="4.5" hidden="1" customHeight="1" outlineLevel="1">
      <c r="B64" s="179"/>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3"/>
      <c r="AL64" s="151"/>
      <c r="AM64" s="151"/>
      <c r="AN64" s="153"/>
      <c r="AO64" s="151"/>
      <c r="AP64" s="151"/>
      <c r="AQ64" s="151"/>
      <c r="AR64" s="151"/>
      <c r="AS64" s="151"/>
      <c r="AT64" s="151"/>
      <c r="AU64" s="151"/>
      <c r="AV64" s="151"/>
    </row>
    <row r="65" spans="1:50" ht="100.5" hidden="1" customHeight="1" outlineLevel="1">
      <c r="A65" s="228" t="s">
        <v>187</v>
      </c>
      <c r="B65" s="228"/>
      <c r="C65" s="228"/>
      <c r="D65" s="228"/>
      <c r="E65" s="228"/>
      <c r="F65" s="228"/>
      <c r="G65" s="228"/>
      <c r="H65" s="22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43"/>
      <c r="AS65" s="143"/>
      <c r="AT65" s="143"/>
      <c r="AU65" s="143"/>
      <c r="AV65" s="143"/>
    </row>
    <row r="66" spans="1:50" ht="4.5" hidden="1" customHeight="1" outlineLevel="1"/>
    <row r="67" spans="1:50" s="104" customFormat="1" ht="28" collapsed="1">
      <c r="A67" s="92" t="s">
        <v>139</v>
      </c>
      <c r="B67" s="92"/>
      <c r="C67" s="134"/>
      <c r="D67" s="134"/>
      <c r="E67" s="134"/>
      <c r="F67" s="134"/>
      <c r="G67" s="135"/>
      <c r="H67" s="134">
        <v>141515</v>
      </c>
      <c r="I67" s="134">
        <v>171226</v>
      </c>
      <c r="J67" s="134">
        <v>171392</v>
      </c>
      <c r="K67" s="134">
        <v>174390</v>
      </c>
      <c r="L67" s="134"/>
      <c r="M67" s="134">
        <v>174552</v>
      </c>
      <c r="N67" s="134">
        <v>175900</v>
      </c>
      <c r="O67" s="134">
        <v>178344</v>
      </c>
      <c r="P67" s="134">
        <f>167112+11373</f>
        <v>178485</v>
      </c>
      <c r="Q67" s="134"/>
      <c r="R67" s="164">
        <v>179685</v>
      </c>
      <c r="S67" s="169">
        <f>164745+10157</f>
        <v>174902</v>
      </c>
      <c r="T67" s="164">
        <v>175993</v>
      </c>
      <c r="U67" s="164">
        <f>9633+166211</f>
        <v>175844</v>
      </c>
      <c r="V67" s="164"/>
      <c r="W67" s="164">
        <f>22081+148359+9671</f>
        <v>180111</v>
      </c>
      <c r="X67" s="164">
        <f>9642+172004</f>
        <v>181646</v>
      </c>
      <c r="Y67" s="164">
        <f>9775+173247</f>
        <v>183022</v>
      </c>
      <c r="Z67" s="134">
        <f>8206+174803</f>
        <v>183009</v>
      </c>
      <c r="AA67" s="164"/>
      <c r="AB67" s="134">
        <v>184250</v>
      </c>
      <c r="AC67" s="134">
        <v>185051</v>
      </c>
      <c r="AD67" s="134">
        <v>178242</v>
      </c>
      <c r="AE67" s="134">
        <v>178620</v>
      </c>
      <c r="AF67" s="134"/>
      <c r="AG67" s="134">
        <v>172297</v>
      </c>
      <c r="AH67" s="196">
        <v>167871</v>
      </c>
      <c r="AI67" s="196">
        <v>171884</v>
      </c>
      <c r="AJ67" s="196">
        <v>173001</v>
      </c>
      <c r="AK67" s="131"/>
      <c r="AL67" s="134">
        <v>171958</v>
      </c>
      <c r="AM67" s="134">
        <f>169099+2521</f>
        <v>171620</v>
      </c>
      <c r="AN67" s="131"/>
      <c r="AP67" s="134"/>
      <c r="AQ67" s="134">
        <v>174390</v>
      </c>
      <c r="AR67" s="134">
        <f>167112+13880</f>
        <v>180992</v>
      </c>
      <c r="AS67" s="134">
        <v>178275</v>
      </c>
      <c r="AT67" s="134">
        <f>9585+174803</f>
        <v>184388</v>
      </c>
      <c r="AU67" s="134">
        <f>174357+5972</f>
        <v>180329</v>
      </c>
      <c r="AV67" s="196">
        <f>169845+3585</f>
        <v>173430</v>
      </c>
      <c r="AX67" s="133"/>
    </row>
    <row r="68" spans="1:50">
      <c r="A68" s="165"/>
    </row>
    <row r="69" spans="1:50">
      <c r="AM69" s="178"/>
      <c r="AS69" s="178"/>
    </row>
    <row r="70" spans="1:50">
      <c r="U70" s="178"/>
      <c r="AS70" s="178"/>
    </row>
  </sheetData>
  <mergeCells count="7">
    <mergeCell ref="C3:AM3"/>
    <mergeCell ref="C4:AM4"/>
    <mergeCell ref="A65:H65"/>
    <mergeCell ref="AO6:AV6"/>
    <mergeCell ref="AO7:AV7"/>
    <mergeCell ref="C6:AM6"/>
    <mergeCell ref="C7:AM7"/>
  </mergeCells>
  <pageMargins left="0.7" right="0.7" top="0.75" bottom="0.75" header="0.3" footer="0.3"/>
  <pageSetup scale="47"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47"/>
  <sheetViews>
    <sheetView zoomScaleNormal="100" workbookViewId="0">
      <pane xSplit="1" ySplit="8" topLeftCell="B9" activePane="bottomRight" state="frozen"/>
      <selection activeCell="L59" sqref="L59"/>
      <selection pane="topRight" activeCell="L59" sqref="L59"/>
      <selection pane="bottomLeft" activeCell="L59" sqref="L59"/>
      <selection pane="bottomRight"/>
    </sheetView>
  </sheetViews>
  <sheetFormatPr baseColWidth="10" defaultColWidth="9" defaultRowHeight="13" outlineLevelRow="1" outlineLevelCol="1"/>
  <cols>
    <col min="1" max="1" width="63.3984375" style="72" customWidth="1"/>
    <col min="2" max="2" width="1.59765625" style="72" customWidth="1"/>
    <col min="3" max="6" width="11.59765625" style="72" hidden="1" customWidth="1" outlineLevel="1"/>
    <col min="7" max="7" width="1.59765625" style="82" customWidth="1" collapsed="1"/>
    <col min="8" max="11" width="11.59765625" style="72" hidden="1" customWidth="1" outlineLevel="1"/>
    <col min="12" max="12" width="1.59765625" style="82" customWidth="1" collapsed="1"/>
    <col min="13" max="16" width="11.59765625" style="72" hidden="1" customWidth="1" outlineLevel="1"/>
    <col min="17" max="17" width="1.19921875" style="72" hidden="1" customWidth="1" outlineLevel="1" collapsed="1"/>
    <col min="18" max="21" width="11.796875" style="72" hidden="1" customWidth="1" outlineLevel="1"/>
    <col min="22" max="22" width="1" style="72" hidden="1" customWidth="1" outlineLevel="1"/>
    <col min="23" max="23" width="11.796875" style="72" hidden="1" customWidth="1" outlineLevel="1" collapsed="1"/>
    <col min="24" max="26" width="11.796875" style="72" hidden="1" customWidth="1" outlineLevel="1"/>
    <col min="27" max="27" width="1" style="72" customWidth="1" collapsed="1"/>
    <col min="28" max="31" width="11.796875" style="72" hidden="1" customWidth="1" outlineLevel="1"/>
    <col min="32" max="32" width="2.19921875" style="72" customWidth="1" collapsed="1"/>
    <col min="33" max="36" width="11.796875" style="72" customWidth="1"/>
    <col min="37" max="37" width="2.19921875" style="82" customWidth="1"/>
    <col min="38" max="39" width="11.796875" style="72" customWidth="1"/>
    <col min="40" max="40" width="2.19921875" style="82" customWidth="1"/>
    <col min="41" max="43" width="11.59765625" style="72" hidden="1" customWidth="1" outlineLevel="1"/>
    <col min="44" max="45" width="11.796875" style="72" hidden="1" customWidth="1" outlineLevel="1"/>
    <col min="46" max="46" width="11.796875" style="72" hidden="1" customWidth="1" outlineLevel="1" collapsed="1"/>
    <col min="47" max="47" width="11.796875" style="72" customWidth="1" collapsed="1"/>
    <col min="48" max="48" width="11.796875" style="72" customWidth="1"/>
    <col min="49" max="49" width="9" style="72"/>
    <col min="50" max="50" width="9.3984375" style="72" customWidth="1"/>
    <col min="51" max="16384" width="9" style="72"/>
  </cols>
  <sheetData>
    <row r="1" spans="1:59">
      <c r="G1" s="72"/>
    </row>
    <row r="2" spans="1:59" ht="18">
      <c r="C2" s="225" t="s">
        <v>98</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68"/>
      <c r="AO2" s="68"/>
      <c r="AP2" s="68"/>
      <c r="AQ2" s="68"/>
      <c r="AR2" s="68"/>
      <c r="AS2" s="68"/>
      <c r="AT2" s="68"/>
      <c r="AU2" s="68"/>
      <c r="AV2" s="68"/>
    </row>
    <row r="3" spans="1:59" ht="18">
      <c r="C3" s="225" t="s">
        <v>101</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68"/>
      <c r="AO3" s="68"/>
      <c r="AP3" s="68"/>
      <c r="AQ3" s="68"/>
      <c r="AR3" s="68"/>
      <c r="AS3" s="68"/>
      <c r="AT3" s="68"/>
      <c r="AU3" s="68"/>
      <c r="AV3" s="68"/>
      <c r="AW3" s="70"/>
    </row>
    <row r="4" spans="1:59" ht="13.5" customHeight="1">
      <c r="C4" s="227" t="s">
        <v>136</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76"/>
      <c r="AO4" s="76"/>
      <c r="AP4" s="76"/>
      <c r="AQ4" s="76"/>
      <c r="AR4" s="76"/>
      <c r="AS4" s="76"/>
      <c r="AT4" s="76"/>
      <c r="AU4" s="76"/>
      <c r="AV4" s="76"/>
      <c r="AW4" s="66"/>
    </row>
    <row r="6" spans="1:59">
      <c r="C6" s="221" t="s">
        <v>106</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3"/>
      <c r="AO6" s="221" t="s">
        <v>107</v>
      </c>
      <c r="AP6" s="222"/>
      <c r="AQ6" s="222"/>
      <c r="AR6" s="222"/>
      <c r="AS6" s="222"/>
      <c r="AT6" s="222"/>
      <c r="AU6" s="222"/>
      <c r="AV6" s="223"/>
    </row>
    <row r="7" spans="1:59" ht="13" customHeight="1">
      <c r="C7" s="224" t="s">
        <v>113</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90"/>
      <c r="AO7" s="224" t="s">
        <v>113</v>
      </c>
      <c r="AP7" s="224"/>
      <c r="AQ7" s="224"/>
      <c r="AR7" s="224"/>
      <c r="AS7" s="224"/>
      <c r="AT7" s="224"/>
      <c r="AU7" s="224"/>
      <c r="AV7" s="224"/>
    </row>
    <row r="8" spans="1:59">
      <c r="C8" s="91" t="s">
        <v>20</v>
      </c>
      <c r="D8" s="91" t="s">
        <v>21</v>
      </c>
      <c r="E8" s="91" t="s">
        <v>22</v>
      </c>
      <c r="F8" s="91" t="s">
        <v>23</v>
      </c>
      <c r="G8" s="114"/>
      <c r="H8" s="91" t="s">
        <v>25</v>
      </c>
      <c r="I8" s="91" t="s">
        <v>26</v>
      </c>
      <c r="J8" s="91" t="s">
        <v>50</v>
      </c>
      <c r="K8" s="91" t="s">
        <v>105</v>
      </c>
      <c r="L8" s="114"/>
      <c r="M8" s="91" t="s">
        <v>134</v>
      </c>
      <c r="N8" s="91" t="s">
        <v>138</v>
      </c>
      <c r="O8" s="91" t="s">
        <v>140</v>
      </c>
      <c r="P8" s="91" t="s">
        <v>148</v>
      </c>
      <c r="Q8" s="114"/>
      <c r="R8" s="91" t="s">
        <v>156</v>
      </c>
      <c r="S8" s="91" t="s">
        <v>158</v>
      </c>
      <c r="T8" s="91" t="s">
        <v>176</v>
      </c>
      <c r="U8" s="91" t="s">
        <v>179</v>
      </c>
      <c r="V8" s="114"/>
      <c r="W8" s="91" t="s">
        <v>183</v>
      </c>
      <c r="X8" s="91" t="s">
        <v>192</v>
      </c>
      <c r="Y8" s="91" t="s">
        <v>193</v>
      </c>
      <c r="Z8" s="91" t="s">
        <v>195</v>
      </c>
      <c r="AA8" s="114"/>
      <c r="AB8" s="91" t="s">
        <v>201</v>
      </c>
      <c r="AC8" s="91" t="s">
        <v>204</v>
      </c>
      <c r="AD8" s="91" t="s">
        <v>206</v>
      </c>
      <c r="AE8" s="91" t="s">
        <v>209</v>
      </c>
      <c r="AF8" s="114"/>
      <c r="AG8" s="91" t="s">
        <v>217</v>
      </c>
      <c r="AH8" s="91" t="s">
        <v>219</v>
      </c>
      <c r="AI8" s="91" t="s">
        <v>222</v>
      </c>
      <c r="AJ8" s="91" t="s">
        <v>225</v>
      </c>
      <c r="AK8" s="120"/>
      <c r="AL8" s="91" t="s">
        <v>227</v>
      </c>
      <c r="AM8" s="114" t="s">
        <v>230</v>
      </c>
      <c r="AN8" s="205"/>
      <c r="AO8" s="91" t="s">
        <v>19</v>
      </c>
      <c r="AP8" s="91" t="s">
        <v>24</v>
      </c>
      <c r="AQ8" s="91" t="s">
        <v>108</v>
      </c>
      <c r="AR8" s="91" t="s">
        <v>149</v>
      </c>
      <c r="AS8" s="91" t="s">
        <v>180</v>
      </c>
      <c r="AT8" s="91" t="s">
        <v>196</v>
      </c>
      <c r="AU8" s="91" t="s">
        <v>208</v>
      </c>
      <c r="AV8" s="91" t="s">
        <v>224</v>
      </c>
    </row>
    <row r="9" spans="1:59">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row>
    <row r="10" spans="1:59">
      <c r="A10" s="104" t="s">
        <v>86</v>
      </c>
      <c r="B10" s="104"/>
    </row>
    <row r="11" spans="1:59">
      <c r="A11" s="72" t="s">
        <v>87</v>
      </c>
      <c r="C11" s="93">
        <f t="shared" ref="C11:AO11" si="0">C20</f>
        <v>438.50000000000006</v>
      </c>
      <c r="D11" s="93">
        <f t="shared" si="0"/>
        <v>410.3</v>
      </c>
      <c r="E11" s="93">
        <f t="shared" si="0"/>
        <v>416.8</v>
      </c>
      <c r="F11" s="93">
        <f t="shared" si="0"/>
        <v>409.59999999999997</v>
      </c>
      <c r="G11" s="94"/>
      <c r="H11" s="93">
        <f t="shared" si="0"/>
        <v>498.7</v>
      </c>
      <c r="I11" s="93">
        <f t="shared" si="0"/>
        <v>475.9</v>
      </c>
      <c r="J11" s="93">
        <f>J20</f>
        <v>475.6</v>
      </c>
      <c r="K11" s="93">
        <f>K20</f>
        <v>464.00000000000006</v>
      </c>
      <c r="L11" s="94"/>
      <c r="M11" s="93">
        <f>M20</f>
        <v>557.79999999999995</v>
      </c>
      <c r="N11" s="93">
        <f>N20</f>
        <v>538.6</v>
      </c>
      <c r="O11" s="93">
        <f>O20</f>
        <v>534.29999999999995</v>
      </c>
      <c r="P11" s="93">
        <f>P20</f>
        <v>524.79999999999995</v>
      </c>
      <c r="Q11" s="93"/>
      <c r="R11" s="93">
        <f>R20</f>
        <v>624.79999999999995</v>
      </c>
      <c r="S11" s="93">
        <v>667.5</v>
      </c>
      <c r="T11" s="93">
        <v>668</v>
      </c>
      <c r="U11" s="93">
        <f>U20</f>
        <v>657.90000000000009</v>
      </c>
      <c r="V11" s="93"/>
      <c r="W11" s="93">
        <f>W20</f>
        <v>783.1</v>
      </c>
      <c r="X11" s="93">
        <v>754.2</v>
      </c>
      <c r="Y11" s="93">
        <v>741.8</v>
      </c>
      <c r="Z11" s="98">
        <f>Z20</f>
        <v>732.4</v>
      </c>
      <c r="AA11" s="93"/>
      <c r="AB11" s="93">
        <v>870.5</v>
      </c>
      <c r="AC11" s="93">
        <v>846.1</v>
      </c>
      <c r="AD11" s="93">
        <f>AD20</f>
        <v>851</v>
      </c>
      <c r="AE11" s="93">
        <f>AE20</f>
        <v>833.6</v>
      </c>
      <c r="AF11" s="93"/>
      <c r="AG11" s="93">
        <f>AG20</f>
        <v>951.09999999999991</v>
      </c>
      <c r="AH11" s="93">
        <v>936.3</v>
      </c>
      <c r="AI11" s="93">
        <v>945</v>
      </c>
      <c r="AJ11" s="93">
        <v>943.1</v>
      </c>
      <c r="AK11" s="94"/>
      <c r="AL11" s="93">
        <v>1088.7</v>
      </c>
      <c r="AM11" s="93">
        <v>1054.8</v>
      </c>
      <c r="AN11" s="94"/>
      <c r="AO11" s="93">
        <f t="shared" si="0"/>
        <v>1397.8999999999999</v>
      </c>
      <c r="AP11" s="93">
        <f>AP20</f>
        <v>1675.1999999999998</v>
      </c>
      <c r="AQ11" s="93">
        <f>AQ20</f>
        <v>1914.2000000000003</v>
      </c>
      <c r="AR11" s="93">
        <f>AR20</f>
        <v>2155.5</v>
      </c>
      <c r="AS11" s="93">
        <f>AS20</f>
        <v>2618.2000000000003</v>
      </c>
      <c r="AT11" s="93">
        <f>AT20</f>
        <v>3011.5</v>
      </c>
      <c r="AU11" s="93">
        <f>SUM(AB11:AE11)</f>
        <v>3401.2</v>
      </c>
      <c r="AV11" s="93">
        <f>SUM(AG11:AJ11)</f>
        <v>3775.4999999999995</v>
      </c>
      <c r="AX11" s="81"/>
      <c r="AY11" s="73"/>
      <c r="AZ11" s="73"/>
    </row>
    <row r="12" spans="1:59">
      <c r="A12" s="72" t="s">
        <v>137</v>
      </c>
      <c r="C12" s="111">
        <v>11942</v>
      </c>
      <c r="D12" s="111">
        <v>12173</v>
      </c>
      <c r="E12" s="111">
        <v>12466</v>
      </c>
      <c r="F12" s="111">
        <v>12709</v>
      </c>
      <c r="G12" s="83"/>
      <c r="H12" s="111">
        <v>13054</v>
      </c>
      <c r="I12" s="111">
        <v>13281</v>
      </c>
      <c r="J12" s="111">
        <v>13572</v>
      </c>
      <c r="K12" s="111">
        <v>13774</v>
      </c>
      <c r="L12" s="83"/>
      <c r="M12" s="111">
        <v>14107</v>
      </c>
      <c r="N12" s="111">
        <v>14327</v>
      </c>
      <c r="O12" s="111">
        <v>14547</v>
      </c>
      <c r="P12" s="111">
        <v>14740</v>
      </c>
      <c r="Q12" s="111"/>
      <c r="R12" s="111">
        <v>15085</v>
      </c>
      <c r="S12" s="111">
        <v>16878</v>
      </c>
      <c r="T12" s="111">
        <v>17123</v>
      </c>
      <c r="U12" s="111">
        <v>17339</v>
      </c>
      <c r="V12" s="111"/>
      <c r="W12" s="111">
        <v>17705</v>
      </c>
      <c r="X12" s="111">
        <v>17980</v>
      </c>
      <c r="Y12" s="111">
        <v>18267</v>
      </c>
      <c r="Z12" s="111">
        <v>18518</v>
      </c>
      <c r="AA12" s="111"/>
      <c r="AB12" s="111">
        <v>18841</v>
      </c>
      <c r="AC12" s="111">
        <v>18968</v>
      </c>
      <c r="AD12" s="111">
        <v>19110</v>
      </c>
      <c r="AE12" s="111">
        <v>19274</v>
      </c>
      <c r="AF12" s="111"/>
      <c r="AG12" s="111"/>
      <c r="AH12" s="111"/>
      <c r="AI12" s="111"/>
      <c r="AJ12" s="111"/>
      <c r="AK12" s="83"/>
      <c r="AL12" s="111"/>
      <c r="AM12" s="111"/>
      <c r="AN12" s="83"/>
      <c r="AO12" s="111">
        <v>11584</v>
      </c>
      <c r="AP12" s="111">
        <v>12709</v>
      </c>
      <c r="AQ12" s="111">
        <v>13774</v>
      </c>
      <c r="AR12" s="111">
        <f>P12</f>
        <v>14740</v>
      </c>
      <c r="AS12" s="111">
        <f>U12</f>
        <v>17339</v>
      </c>
      <c r="AT12" s="111">
        <f>Z12</f>
        <v>18518</v>
      </c>
      <c r="AU12" s="111">
        <f>AE12</f>
        <v>19274</v>
      </c>
      <c r="AV12" s="111">
        <v>20646</v>
      </c>
      <c r="AX12" s="75"/>
      <c r="AY12" s="73"/>
      <c r="AZ12" s="73"/>
    </row>
    <row r="13" spans="1:59">
      <c r="A13" s="72" t="s">
        <v>88</v>
      </c>
      <c r="C13" s="105">
        <v>105</v>
      </c>
      <c r="D13" s="105">
        <v>108</v>
      </c>
      <c r="E13" s="105">
        <v>112</v>
      </c>
      <c r="F13" s="105">
        <v>114</v>
      </c>
      <c r="G13" s="116"/>
      <c r="H13" s="105">
        <v>115</v>
      </c>
      <c r="I13" s="105">
        <v>118</v>
      </c>
      <c r="J13" s="105">
        <v>119</v>
      </c>
      <c r="K13" s="105">
        <v>121</v>
      </c>
      <c r="L13" s="116"/>
      <c r="M13" s="105">
        <v>123</v>
      </c>
      <c r="N13" s="105">
        <v>125</v>
      </c>
      <c r="O13" s="105">
        <v>127</v>
      </c>
      <c r="P13" s="105">
        <v>130</v>
      </c>
      <c r="Q13" s="105"/>
      <c r="R13" s="105">
        <v>130</v>
      </c>
      <c r="S13" s="105">
        <v>129</v>
      </c>
      <c r="T13" s="105">
        <v>134</v>
      </c>
      <c r="U13" s="105">
        <v>139</v>
      </c>
      <c r="V13" s="105"/>
      <c r="W13" s="105">
        <v>138</v>
      </c>
      <c r="X13" s="105">
        <v>142</v>
      </c>
      <c r="Y13" s="105">
        <v>145</v>
      </c>
      <c r="Z13" s="105">
        <v>148</v>
      </c>
      <c r="AA13" s="105"/>
      <c r="AB13" s="105">
        <v>150</v>
      </c>
      <c r="AC13" s="105">
        <v>153</v>
      </c>
      <c r="AD13" s="105">
        <v>155</v>
      </c>
      <c r="AE13" s="105">
        <v>158</v>
      </c>
      <c r="AF13" s="105"/>
      <c r="AG13" s="105"/>
      <c r="AH13" s="105"/>
      <c r="AI13" s="105"/>
      <c r="AJ13" s="105"/>
      <c r="AK13" s="116"/>
      <c r="AL13" s="105"/>
      <c r="AM13" s="105"/>
      <c r="AN13" s="116"/>
      <c r="AO13" s="105">
        <v>104</v>
      </c>
      <c r="AP13" s="105">
        <v>114</v>
      </c>
      <c r="AQ13" s="105">
        <v>121</v>
      </c>
      <c r="AR13" s="105">
        <f>P13</f>
        <v>130</v>
      </c>
      <c r="AS13" s="111">
        <f>U13</f>
        <v>139</v>
      </c>
      <c r="AT13" s="111">
        <f>Z13</f>
        <v>148</v>
      </c>
      <c r="AU13" s="208">
        <f>AE13</f>
        <v>158</v>
      </c>
      <c r="AV13" s="208">
        <v>166</v>
      </c>
      <c r="AX13" s="75"/>
      <c r="AY13" s="73"/>
      <c r="AZ13" s="73"/>
    </row>
    <row r="14" spans="1:59">
      <c r="C14" s="67"/>
      <c r="D14" s="67"/>
      <c r="E14" s="67"/>
      <c r="F14" s="67"/>
      <c r="G14" s="83"/>
      <c r="H14" s="67"/>
      <c r="I14" s="67"/>
      <c r="J14" s="67"/>
      <c r="K14" s="67"/>
      <c r="L14" s="83"/>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83"/>
      <c r="AL14" s="67"/>
      <c r="AM14" s="67"/>
      <c r="AN14" s="83"/>
      <c r="AO14" s="67"/>
      <c r="AP14" s="67"/>
      <c r="AQ14" s="67"/>
      <c r="AR14" s="67"/>
      <c r="AS14" s="67"/>
      <c r="AT14" s="67"/>
      <c r="AU14" s="67"/>
      <c r="AV14" s="67"/>
      <c r="AX14" s="75"/>
      <c r="AY14" s="73"/>
      <c r="AZ14" s="73"/>
    </row>
    <row r="15" spans="1:59">
      <c r="A15" s="104" t="s">
        <v>89</v>
      </c>
      <c r="B15" s="104"/>
      <c r="C15" s="67"/>
      <c r="D15" s="67"/>
      <c r="E15" s="67"/>
      <c r="F15" s="67"/>
      <c r="G15" s="83"/>
      <c r="H15" s="67"/>
      <c r="I15" s="67"/>
      <c r="J15" s="67"/>
      <c r="K15" s="67"/>
      <c r="L15" s="83"/>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83"/>
      <c r="AL15" s="67"/>
      <c r="AM15" s="67"/>
      <c r="AN15" s="83"/>
      <c r="AO15" s="67"/>
      <c r="AP15" s="67"/>
      <c r="AQ15" s="67"/>
      <c r="AR15" s="67"/>
      <c r="AS15" s="67"/>
      <c r="AT15" s="67"/>
      <c r="AU15" s="67"/>
      <c r="AV15" s="67"/>
      <c r="AX15" s="75"/>
      <c r="AY15" s="73"/>
      <c r="AZ15" s="73"/>
      <c r="BG15" s="74"/>
    </row>
    <row r="16" spans="1:59">
      <c r="A16" s="72" t="s">
        <v>59</v>
      </c>
      <c r="C16" s="93">
        <f>'2. Income Stmt'!C15</f>
        <v>320.20000000000005</v>
      </c>
      <c r="D16" s="67">
        <f>'2. Income Stmt'!D15</f>
        <v>338.5</v>
      </c>
      <c r="E16" s="93">
        <f>'2. Income Stmt'!E15</f>
        <v>356.90000000000003</v>
      </c>
      <c r="F16" s="93">
        <f>'2. Income Stmt'!F15</f>
        <v>371.69999999999993</v>
      </c>
      <c r="G16" s="94"/>
      <c r="H16" s="93">
        <f>'2. Income Stmt'!H15</f>
        <v>376.29999999999995</v>
      </c>
      <c r="I16" s="93">
        <f>'2. Income Stmt'!I15</f>
        <v>394.5</v>
      </c>
      <c r="J16" s="93">
        <f>'2. Income Stmt'!J15</f>
        <v>411.1</v>
      </c>
      <c r="K16" s="93">
        <f>'2. Income Stmt'!K15</f>
        <v>425.40000000000003</v>
      </c>
      <c r="L16" s="94"/>
      <c r="M16" s="93">
        <f>'2. Income Stmt'!M15</f>
        <v>433.7</v>
      </c>
      <c r="N16" s="93">
        <f>'2. Income Stmt'!N15</f>
        <v>456.2</v>
      </c>
      <c r="O16" s="93">
        <f>'2. Income Stmt'!O15</f>
        <v>472.09999999999997</v>
      </c>
      <c r="P16" s="93">
        <f>'2. Income Stmt'!P15</f>
        <v>485.9</v>
      </c>
      <c r="Q16" s="93"/>
      <c r="R16" s="93">
        <v>489.7</v>
      </c>
      <c r="S16" s="93">
        <v>557.79999999999995</v>
      </c>
      <c r="T16" s="93">
        <v>582.20000000000005</v>
      </c>
      <c r="U16" s="93">
        <v>602.20000000000005</v>
      </c>
      <c r="V16" s="93"/>
      <c r="W16" s="93">
        <v>633.20000000000005</v>
      </c>
      <c r="X16" s="93">
        <v>651.6</v>
      </c>
      <c r="Y16" s="93">
        <v>679.5</v>
      </c>
      <c r="Z16" s="93">
        <v>695.8</v>
      </c>
      <c r="AA16" s="93"/>
      <c r="AB16" s="93">
        <v>710</v>
      </c>
      <c r="AC16" s="93">
        <v>737.2</v>
      </c>
      <c r="AD16" s="93">
        <v>760.5</v>
      </c>
      <c r="AE16" s="93">
        <v>780.4</v>
      </c>
      <c r="AF16" s="93"/>
      <c r="AG16" s="93">
        <v>792</v>
      </c>
      <c r="AH16" s="93">
        <v>806.4</v>
      </c>
      <c r="AI16" s="93">
        <v>844.4</v>
      </c>
      <c r="AJ16" s="93">
        <v>873.9</v>
      </c>
      <c r="AK16" s="94"/>
      <c r="AL16" s="93">
        <v>901.1</v>
      </c>
      <c r="AM16" s="93">
        <v>931.3</v>
      </c>
      <c r="AN16" s="94"/>
      <c r="AO16" s="93">
        <f>'2. Income Stmt'!AO15</f>
        <v>1130.8</v>
      </c>
      <c r="AP16" s="93">
        <f>'2. Income Stmt'!AP15</f>
        <v>1387.2999999999997</v>
      </c>
      <c r="AQ16" s="93">
        <f>'2. Income Stmt'!AQ15</f>
        <v>1607.3000000000002</v>
      </c>
      <c r="AR16" s="93">
        <f>'2. Income Stmt'!AR15</f>
        <v>1847.9</v>
      </c>
      <c r="AS16" s="93">
        <f>SUM(R16:U16)</f>
        <v>2231.9</v>
      </c>
      <c r="AT16" s="93">
        <f>SUM(W16:Z16)</f>
        <v>2660.1000000000004</v>
      </c>
      <c r="AU16" s="93">
        <f>SUM(AB16:AE16)</f>
        <v>2988.1</v>
      </c>
      <c r="AV16" s="93">
        <f>SUM(AG16:AJ16)</f>
        <v>3316.7000000000003</v>
      </c>
      <c r="AX16" s="75"/>
      <c r="AY16" s="73"/>
      <c r="AZ16" s="73"/>
      <c r="BG16" s="74"/>
    </row>
    <row r="17" spans="1:52">
      <c r="A17" s="72" t="s">
        <v>90</v>
      </c>
      <c r="C17" s="67">
        <v>86.7</v>
      </c>
      <c r="D17" s="67">
        <v>42.7</v>
      </c>
      <c r="E17" s="67">
        <v>27.900000000000002</v>
      </c>
      <c r="F17" s="67">
        <v>9.1</v>
      </c>
      <c r="G17" s="83"/>
      <c r="H17" s="67">
        <v>87</v>
      </c>
      <c r="I17" s="67">
        <v>45.1</v>
      </c>
      <c r="J17" s="67">
        <v>29.8</v>
      </c>
      <c r="K17" s="67">
        <v>4</v>
      </c>
      <c r="L17" s="83"/>
      <c r="M17" s="67">
        <v>83.3</v>
      </c>
      <c r="N17" s="67">
        <v>47.7</v>
      </c>
      <c r="O17" s="67">
        <v>27.3</v>
      </c>
      <c r="P17" s="67">
        <v>5.2</v>
      </c>
      <c r="Q17" s="67"/>
      <c r="R17" s="67">
        <v>93.7</v>
      </c>
      <c r="S17" s="67">
        <v>66.099999999999994</v>
      </c>
      <c r="T17" s="67">
        <v>44.5</v>
      </c>
      <c r="U17" s="67">
        <v>10.1</v>
      </c>
      <c r="V17" s="67"/>
      <c r="W17" s="67">
        <v>102.3</v>
      </c>
      <c r="X17" s="67">
        <v>52.2</v>
      </c>
      <c r="Y17" s="67">
        <v>16.600000000000001</v>
      </c>
      <c r="Z17" s="67">
        <v>-7.9</v>
      </c>
      <c r="AA17" s="67"/>
      <c r="AB17" s="67">
        <v>105.3</v>
      </c>
      <c r="AC17" s="67">
        <v>52</v>
      </c>
      <c r="AD17" s="67">
        <v>26.3</v>
      </c>
      <c r="AE17" s="67">
        <v>-3.1</v>
      </c>
      <c r="AF17" s="67"/>
      <c r="AG17" s="67">
        <v>96.3</v>
      </c>
      <c r="AH17" s="67">
        <v>59.4</v>
      </c>
      <c r="AI17" s="67">
        <v>42.9</v>
      </c>
      <c r="AJ17" s="67">
        <v>11.9</v>
      </c>
      <c r="AK17" s="83"/>
      <c r="AL17" s="67">
        <v>122.7</v>
      </c>
      <c r="AM17" s="67">
        <v>66.099999999999994</v>
      </c>
      <c r="AN17" s="83"/>
      <c r="AO17" s="67">
        <v>169.1</v>
      </c>
      <c r="AP17" s="67">
        <v>166.4</v>
      </c>
      <c r="AQ17" s="67">
        <v>165.9</v>
      </c>
      <c r="AR17" s="67">
        <f>SUM(M17:P17)</f>
        <v>163.5</v>
      </c>
      <c r="AS17" s="67">
        <f>SUM(R17:U17)</f>
        <v>214.4</v>
      </c>
      <c r="AT17" s="67">
        <f>SUM(W17:Z17)</f>
        <v>163.19999999999999</v>
      </c>
      <c r="AU17" s="67">
        <f>SUM(AB17:AE17)</f>
        <v>180.50000000000003</v>
      </c>
      <c r="AV17" s="67">
        <f>SUM(AG17:AJ17)</f>
        <v>210.5</v>
      </c>
      <c r="AX17" s="75"/>
      <c r="AY17" s="73"/>
      <c r="AZ17" s="73"/>
    </row>
    <row r="18" spans="1:52">
      <c r="A18" s="72" t="s">
        <v>91</v>
      </c>
      <c r="C18" s="67">
        <v>29.1</v>
      </c>
      <c r="D18" s="67">
        <v>29.3</v>
      </c>
      <c r="E18" s="67">
        <v>28.7</v>
      </c>
      <c r="F18" s="67">
        <v>29.1</v>
      </c>
      <c r="G18" s="83"/>
      <c r="H18" s="67">
        <v>35.1</v>
      </c>
      <c r="I18" s="67">
        <v>35.4</v>
      </c>
      <c r="J18" s="67">
        <v>34.299999999999997</v>
      </c>
      <c r="K18" s="67">
        <v>33</v>
      </c>
      <c r="L18" s="83"/>
      <c r="M18" s="67">
        <v>38.4</v>
      </c>
      <c r="N18" s="67">
        <v>35</v>
      </c>
      <c r="O18" s="67">
        <v>35.4</v>
      </c>
      <c r="P18" s="67">
        <v>33.1</v>
      </c>
      <c r="Q18" s="67"/>
      <c r="R18" s="67">
        <v>39.9</v>
      </c>
      <c r="S18" s="67">
        <v>41.8</v>
      </c>
      <c r="T18" s="67">
        <v>43.4</v>
      </c>
      <c r="U18" s="67">
        <v>44.9</v>
      </c>
      <c r="V18" s="67"/>
      <c r="W18" s="67">
        <v>49.9</v>
      </c>
      <c r="X18" s="67">
        <v>50</v>
      </c>
      <c r="Y18" s="67">
        <v>45.9</v>
      </c>
      <c r="Z18" s="67">
        <v>46.8</v>
      </c>
      <c r="AA18" s="67"/>
      <c r="AB18" s="67">
        <v>55.2</v>
      </c>
      <c r="AC18" s="67">
        <v>56.9</v>
      </c>
      <c r="AD18" s="67">
        <v>64.7</v>
      </c>
      <c r="AE18" s="67">
        <v>56.6</v>
      </c>
      <c r="AF18" s="67"/>
      <c r="AG18" s="67">
        <v>63.3</v>
      </c>
      <c r="AH18" s="67">
        <v>69.7</v>
      </c>
      <c r="AI18" s="67">
        <v>58.4</v>
      </c>
      <c r="AJ18" s="67">
        <v>55.9</v>
      </c>
      <c r="AK18" s="83"/>
      <c r="AL18" s="67">
        <v>62.1</v>
      </c>
      <c r="AM18" s="67">
        <v>55.9</v>
      </c>
      <c r="AN18" s="83"/>
      <c r="AO18" s="67">
        <v>96.1</v>
      </c>
      <c r="AP18" s="67">
        <v>116.19999999999999</v>
      </c>
      <c r="AQ18" s="67">
        <v>137.80000000000001</v>
      </c>
      <c r="AR18" s="67">
        <f>SUM(M18:P18)</f>
        <v>141.9</v>
      </c>
      <c r="AS18" s="67">
        <f>SUM(R18:U18)</f>
        <v>170</v>
      </c>
      <c r="AT18" s="67">
        <f>SUM(W18:Z18)</f>
        <v>192.60000000000002</v>
      </c>
      <c r="AU18" s="67">
        <f>SUM(AB18:AE18)</f>
        <v>233.4</v>
      </c>
      <c r="AV18" s="67">
        <f>SUM(AG18:AJ18)</f>
        <v>247.3</v>
      </c>
      <c r="AX18" s="75"/>
      <c r="AY18" s="73"/>
      <c r="AZ18" s="73"/>
    </row>
    <row r="19" spans="1:52">
      <c r="A19" s="72" t="s">
        <v>15</v>
      </c>
      <c r="C19" s="67">
        <v>2.5</v>
      </c>
      <c r="D19" s="67">
        <v>-0.2</v>
      </c>
      <c r="E19" s="67">
        <v>3.3</v>
      </c>
      <c r="F19" s="67">
        <v>-0.3</v>
      </c>
      <c r="G19" s="83"/>
      <c r="H19" s="67">
        <v>0.3</v>
      </c>
      <c r="I19" s="67">
        <v>0.9</v>
      </c>
      <c r="J19" s="67">
        <v>0.4</v>
      </c>
      <c r="K19" s="67">
        <v>1.6</v>
      </c>
      <c r="L19" s="83"/>
      <c r="M19" s="67">
        <v>2.4</v>
      </c>
      <c r="N19" s="67">
        <v>-0.3</v>
      </c>
      <c r="O19" s="67">
        <v>-0.5</v>
      </c>
      <c r="P19" s="67">
        <v>0.6</v>
      </c>
      <c r="Q19" s="67"/>
      <c r="R19" s="67">
        <v>1.5</v>
      </c>
      <c r="S19" s="67">
        <v>1.8</v>
      </c>
      <c r="T19" s="67">
        <v>-2.1</v>
      </c>
      <c r="U19" s="67">
        <v>0.7</v>
      </c>
      <c r="V19" s="67"/>
      <c r="W19" s="67">
        <v>-2.2999999999999998</v>
      </c>
      <c r="X19" s="67">
        <v>0.4</v>
      </c>
      <c r="Y19" s="67">
        <v>-0.2</v>
      </c>
      <c r="Z19" s="67">
        <v>-2.2999999999999998</v>
      </c>
      <c r="AA19" s="67"/>
      <c r="AB19" s="67">
        <v>0</v>
      </c>
      <c r="AC19" s="67">
        <v>0</v>
      </c>
      <c r="AD19" s="67">
        <v>-0.5</v>
      </c>
      <c r="AE19" s="67">
        <v>-0.3</v>
      </c>
      <c r="AF19" s="67"/>
      <c r="AG19" s="67">
        <v>-0.5</v>
      </c>
      <c r="AH19" s="67">
        <v>0.8</v>
      </c>
      <c r="AI19" s="67">
        <v>-0.7</v>
      </c>
      <c r="AJ19" s="67">
        <v>1.4</v>
      </c>
      <c r="AK19" s="83"/>
      <c r="AL19" s="67">
        <v>2.8</v>
      </c>
      <c r="AM19" s="95">
        <v>1.5</v>
      </c>
      <c r="AN19" s="83"/>
      <c r="AO19" s="67">
        <v>1.9000000000000001</v>
      </c>
      <c r="AP19" s="67">
        <v>5.3</v>
      </c>
      <c r="AQ19" s="67">
        <v>3.2</v>
      </c>
      <c r="AR19" s="67">
        <f>SUM(M19:P19)</f>
        <v>2.2000000000000002</v>
      </c>
      <c r="AS19" s="67">
        <f>SUM(R19:U19)</f>
        <v>1.8999999999999997</v>
      </c>
      <c r="AT19" s="67">
        <f>SUM(W19:Z19)</f>
        <v>-4.4000000000000004</v>
      </c>
      <c r="AU19" s="67">
        <f>SUM(AB19:AE19)</f>
        <v>-0.8</v>
      </c>
      <c r="AV19" s="67">
        <f>SUM(AG19:AJ19)</f>
        <v>1</v>
      </c>
      <c r="AX19" s="75"/>
      <c r="AY19" s="73"/>
      <c r="AZ19" s="73"/>
    </row>
    <row r="20" spans="1:52" s="104" customFormat="1" ht="14" thickBot="1">
      <c r="A20" s="72" t="s">
        <v>87</v>
      </c>
      <c r="C20" s="127">
        <f t="shared" ref="C20:AO20" si="1">SUM(C16:C19)</f>
        <v>438.50000000000006</v>
      </c>
      <c r="D20" s="127">
        <f t="shared" si="1"/>
        <v>410.3</v>
      </c>
      <c r="E20" s="127">
        <f t="shared" si="1"/>
        <v>416.8</v>
      </c>
      <c r="F20" s="127">
        <f t="shared" si="1"/>
        <v>409.59999999999997</v>
      </c>
      <c r="G20" s="128"/>
      <c r="H20" s="127">
        <f t="shared" si="1"/>
        <v>498.7</v>
      </c>
      <c r="I20" s="127">
        <f t="shared" si="1"/>
        <v>475.9</v>
      </c>
      <c r="J20" s="127">
        <f>SUM(J16:J19)</f>
        <v>475.6</v>
      </c>
      <c r="K20" s="127">
        <f>SUM(K16:K19)</f>
        <v>464.00000000000006</v>
      </c>
      <c r="L20" s="128"/>
      <c r="M20" s="127">
        <f>SUM(M16:M19)</f>
        <v>557.79999999999995</v>
      </c>
      <c r="N20" s="127">
        <f>SUM(N16:N19)</f>
        <v>538.6</v>
      </c>
      <c r="O20" s="127">
        <f>SUM(O16:O19)</f>
        <v>534.29999999999995</v>
      </c>
      <c r="P20" s="127">
        <f>SUM(P16:P19)</f>
        <v>524.79999999999995</v>
      </c>
      <c r="Q20" s="128"/>
      <c r="R20" s="127">
        <f>SUM(R16:R19)</f>
        <v>624.79999999999995</v>
      </c>
      <c r="S20" s="127">
        <f>SUM(S16:S19)</f>
        <v>667.49999999999989</v>
      </c>
      <c r="T20" s="127">
        <f>SUM(T16:T19)</f>
        <v>668</v>
      </c>
      <c r="U20" s="127">
        <f>SUM(U16:U19)</f>
        <v>657.90000000000009</v>
      </c>
      <c r="V20" s="128"/>
      <c r="W20" s="127">
        <f>SUM(W16:W19)</f>
        <v>783.1</v>
      </c>
      <c r="X20" s="127">
        <f>SUM(X16:X19)</f>
        <v>754.2</v>
      </c>
      <c r="Y20" s="127">
        <f>SUM(Y16:Y19)</f>
        <v>741.8</v>
      </c>
      <c r="Z20" s="127">
        <f>SUM(Z16:Z19)</f>
        <v>732.4</v>
      </c>
      <c r="AA20" s="128"/>
      <c r="AB20" s="127">
        <f>SUM(AB16:AB19)</f>
        <v>870.5</v>
      </c>
      <c r="AC20" s="127">
        <f>SUM(AC16:AC19)</f>
        <v>846.1</v>
      </c>
      <c r="AD20" s="127">
        <f>SUM(AD16:AD19)</f>
        <v>851</v>
      </c>
      <c r="AE20" s="127">
        <f>SUM(AE16:AE19)</f>
        <v>833.6</v>
      </c>
      <c r="AF20" s="128"/>
      <c r="AG20" s="127">
        <f>SUM(AG16:AG19)</f>
        <v>951.09999999999991</v>
      </c>
      <c r="AH20" s="127">
        <f>SUM(AH16:AH19)</f>
        <v>936.3</v>
      </c>
      <c r="AI20" s="127">
        <f>SUM(AI16:AI19)</f>
        <v>944.99999999999989</v>
      </c>
      <c r="AJ20" s="127">
        <f>SUM(AJ16:AJ19)</f>
        <v>943.09999999999991</v>
      </c>
      <c r="AK20" s="128"/>
      <c r="AL20" s="127">
        <f>SUM(AL16:AL19)</f>
        <v>1088.7</v>
      </c>
      <c r="AM20" s="127">
        <f>SUM(AM16:AM19)</f>
        <v>1054.8</v>
      </c>
      <c r="AN20" s="128"/>
      <c r="AO20" s="127">
        <f t="shared" si="1"/>
        <v>1397.8999999999999</v>
      </c>
      <c r="AP20" s="127">
        <f>SUM(AP16:AP19)</f>
        <v>1675.1999999999998</v>
      </c>
      <c r="AQ20" s="127">
        <f>SUM(AQ16:AQ19)</f>
        <v>1914.2000000000003</v>
      </c>
      <c r="AR20" s="127">
        <f>SUM(AR16:AR19)</f>
        <v>2155.5</v>
      </c>
      <c r="AS20" s="127">
        <f>SUM(AS16:AS19)</f>
        <v>2618.2000000000003</v>
      </c>
      <c r="AT20" s="127">
        <f>SUM(AT16:AT19)</f>
        <v>3011.5</v>
      </c>
      <c r="AU20" s="127">
        <f>SUM(AB20:AE20)</f>
        <v>3401.2</v>
      </c>
      <c r="AV20" s="127">
        <f>SUM(AG20:AJ20)</f>
        <v>3775.4999999999995</v>
      </c>
      <c r="AX20" s="132"/>
      <c r="AY20" s="133"/>
      <c r="AZ20" s="133"/>
    </row>
    <row r="21" spans="1:52" ht="14" thickTop="1">
      <c r="C21" s="67"/>
      <c r="D21" s="67"/>
      <c r="E21" s="67"/>
      <c r="F21" s="67"/>
      <c r="G21" s="83"/>
      <c r="H21" s="67"/>
      <c r="I21" s="67"/>
      <c r="J21" s="67"/>
      <c r="K21" s="67"/>
      <c r="L21" s="83"/>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83"/>
      <c r="AL21" s="67"/>
      <c r="AM21" s="67"/>
      <c r="AN21" s="83"/>
      <c r="AO21" s="67"/>
      <c r="AP21" s="67"/>
      <c r="AQ21" s="67"/>
      <c r="AR21" s="67"/>
      <c r="AS21" s="67"/>
      <c r="AT21" s="67"/>
      <c r="AU21" s="67"/>
      <c r="AV21" s="67"/>
      <c r="AX21" s="75"/>
      <c r="AY21" s="73"/>
      <c r="AZ21" s="73"/>
    </row>
    <row r="22" spans="1:52">
      <c r="A22" s="104" t="s">
        <v>128</v>
      </c>
    </row>
    <row r="23" spans="1:52">
      <c r="A23" s="72" t="s">
        <v>74</v>
      </c>
      <c r="C23" s="93">
        <f>'5. Cash Flow'!C24</f>
        <v>42.500000000000092</v>
      </c>
      <c r="D23" s="93">
        <f>'5. Cash Flow'!D24</f>
        <v>62.099999999999994</v>
      </c>
      <c r="E23" s="93">
        <f>'5. Cash Flow'!E24</f>
        <v>50.300000000000097</v>
      </c>
      <c r="F23" s="93">
        <f>'5. Cash Flow'!F24</f>
        <v>25.699999999999957</v>
      </c>
      <c r="G23" s="93">
        <f>'5. Cash Flow'!G24</f>
        <v>0</v>
      </c>
      <c r="H23" s="93">
        <f>'5. Cash Flow'!H24</f>
        <v>72.099999999999994</v>
      </c>
      <c r="I23" s="93">
        <f>'5. Cash Flow'!I24</f>
        <v>47.300000000000026</v>
      </c>
      <c r="J23" s="93">
        <f>'5. Cash Flow'!J24</f>
        <v>78.699999999999989</v>
      </c>
      <c r="K23" s="93">
        <f>'5. Cash Flow'!K24</f>
        <v>61.100000000000044</v>
      </c>
      <c r="L23" s="93">
        <f>'5. Cash Flow'!L24</f>
        <v>0</v>
      </c>
      <c r="M23" s="93">
        <f>'5. Cash Flow'!M24</f>
        <v>105.30000000000001</v>
      </c>
      <c r="N23" s="93">
        <f>'5. Cash Flow'!N24</f>
        <v>92.399999999999935</v>
      </c>
      <c r="O23" s="93">
        <f>'5. Cash Flow'!O24</f>
        <v>99.699999999999989</v>
      </c>
      <c r="P23" s="93">
        <f>'5. Cash Flow'!P24</f>
        <v>89.09999999999998</v>
      </c>
      <c r="Q23" s="93"/>
      <c r="R23" s="93">
        <v>126.6</v>
      </c>
      <c r="S23" s="93">
        <v>113.3</v>
      </c>
      <c r="T23" s="93">
        <v>131.4</v>
      </c>
      <c r="U23" s="93">
        <v>104.3</v>
      </c>
      <c r="V23" s="93"/>
      <c r="W23" s="93">
        <v>148.4</v>
      </c>
      <c r="X23" s="93">
        <v>128.9</v>
      </c>
      <c r="Y23" s="93">
        <v>154</v>
      </c>
      <c r="Z23" s="93">
        <v>128.5</v>
      </c>
      <c r="AA23" s="93"/>
      <c r="AB23" s="93">
        <v>199.7</v>
      </c>
      <c r="AC23" s="93">
        <v>161.30000000000001</v>
      </c>
      <c r="AD23" s="93">
        <v>200.2</v>
      </c>
      <c r="AE23" s="93">
        <v>162.19999999999999</v>
      </c>
      <c r="AF23" s="93"/>
      <c r="AG23" s="93">
        <v>233.3</v>
      </c>
      <c r="AH23" s="93">
        <v>168.1</v>
      </c>
      <c r="AI23" s="93">
        <v>197.3</v>
      </c>
      <c r="AJ23" s="93">
        <v>165.9</v>
      </c>
      <c r="AK23" s="93">
        <f>'5. Cash Flow'!AK24</f>
        <v>0</v>
      </c>
      <c r="AL23" s="93">
        <v>221.3</v>
      </c>
      <c r="AM23" s="93">
        <v>209.4</v>
      </c>
      <c r="AN23" s="93">
        <f>'5. Cash Flow'!AS24</f>
        <v>475.6</v>
      </c>
      <c r="AO23" s="93">
        <f>'5. Cash Flow'!AO24</f>
        <v>153.30000000000013</v>
      </c>
      <c r="AP23" s="93">
        <f>'5. Cash Flow'!AP24</f>
        <v>180.59999999999971</v>
      </c>
      <c r="AQ23" s="93">
        <f>'5. Cash Flow'!AQ24</f>
        <v>259.20000000000022</v>
      </c>
      <c r="AR23" s="93">
        <f>'5. Cash Flow'!AR24</f>
        <v>386.49999999999983</v>
      </c>
      <c r="AS23" s="93">
        <f t="shared" ref="AS23:AS28" si="2">SUM(R23:U23)</f>
        <v>475.59999999999997</v>
      </c>
      <c r="AT23" s="93">
        <f t="shared" ref="AT23:AT29" si="3">SUM(W23:Z23)</f>
        <v>559.79999999999995</v>
      </c>
      <c r="AU23" s="93">
        <f>SUM(AB23:AE23)</f>
        <v>723.40000000000009</v>
      </c>
      <c r="AV23" s="93">
        <f t="shared" ref="AV23:AV31" si="4">SUM(AG23:AJ23)</f>
        <v>764.6</v>
      </c>
    </row>
    <row r="24" spans="1:52" s="67" customFormat="1" hidden="1" outlineLevel="1">
      <c r="A24" s="72" t="s">
        <v>166</v>
      </c>
      <c r="C24" s="67">
        <v>0</v>
      </c>
      <c r="D24" s="67">
        <v>0</v>
      </c>
      <c r="E24" s="67">
        <v>0</v>
      </c>
      <c r="F24" s="67">
        <v>0</v>
      </c>
      <c r="G24" s="67">
        <v>0</v>
      </c>
      <c r="H24" s="67">
        <v>0</v>
      </c>
      <c r="I24" s="67">
        <v>0</v>
      </c>
      <c r="J24" s="67">
        <v>0</v>
      </c>
      <c r="K24" s="67">
        <v>0</v>
      </c>
      <c r="L24" s="67">
        <v>0</v>
      </c>
      <c r="M24" s="67">
        <v>0</v>
      </c>
      <c r="N24" s="67">
        <v>0</v>
      </c>
      <c r="O24" s="67">
        <v>0</v>
      </c>
      <c r="P24" s="67">
        <v>0</v>
      </c>
      <c r="R24" s="67">
        <v>0</v>
      </c>
      <c r="S24" s="67">
        <v>-3</v>
      </c>
      <c r="T24" s="67">
        <v>-0.5</v>
      </c>
      <c r="U24" s="67">
        <v>0</v>
      </c>
      <c r="W24" s="67">
        <v>0</v>
      </c>
      <c r="X24" s="67">
        <v>21.4</v>
      </c>
      <c r="Y24" s="67">
        <v>2.4</v>
      </c>
      <c r="Z24" s="67">
        <v>0</v>
      </c>
      <c r="AB24" s="67">
        <v>0</v>
      </c>
      <c r="AC24" s="67">
        <v>0</v>
      </c>
      <c r="AD24" s="67">
        <v>0</v>
      </c>
      <c r="AE24" s="67">
        <v>0</v>
      </c>
      <c r="AG24" s="67">
        <v>0</v>
      </c>
      <c r="AH24" s="67">
        <v>0</v>
      </c>
      <c r="AI24" s="67">
        <v>0</v>
      </c>
      <c r="AJ24" s="67">
        <v>0</v>
      </c>
      <c r="AO24" s="67">
        <v>0</v>
      </c>
      <c r="AP24" s="67">
        <v>0</v>
      </c>
      <c r="AQ24" s="67">
        <v>0</v>
      </c>
      <c r="AR24" s="67">
        <v>0</v>
      </c>
      <c r="AS24" s="67">
        <f t="shared" si="2"/>
        <v>-3.5</v>
      </c>
      <c r="AT24" s="67">
        <f t="shared" si="3"/>
        <v>23.799999999999997</v>
      </c>
      <c r="AU24" s="67">
        <f t="shared" ref="AU24:AU29" si="5">SUM(AB24:AE24)</f>
        <v>0</v>
      </c>
      <c r="AV24" s="67">
        <f t="shared" si="4"/>
        <v>0</v>
      </c>
    </row>
    <row r="25" spans="1:52" collapsed="1">
      <c r="A25" s="72" t="s">
        <v>129</v>
      </c>
      <c r="C25" s="83">
        <v>15.1</v>
      </c>
      <c r="D25" s="83">
        <v>10.9</v>
      </c>
      <c r="E25" s="83">
        <v>28.4</v>
      </c>
      <c r="F25" s="83">
        <v>21</v>
      </c>
      <c r="H25" s="83">
        <v>20.6</v>
      </c>
      <c r="I25" s="83">
        <v>14.8</v>
      </c>
      <c r="J25" s="83">
        <v>11.9</v>
      </c>
      <c r="K25" s="83">
        <v>11.8</v>
      </c>
      <c r="M25" s="83">
        <v>11.6</v>
      </c>
      <c r="N25" s="83">
        <v>11.7</v>
      </c>
      <c r="O25" s="83">
        <v>11.7</v>
      </c>
      <c r="P25" s="83">
        <v>11.5</v>
      </c>
      <c r="Q25" s="83"/>
      <c r="R25" s="83">
        <v>8.8000000000000007</v>
      </c>
      <c r="S25" s="83">
        <v>25.9</v>
      </c>
      <c r="T25" s="83">
        <v>24.6</v>
      </c>
      <c r="U25" s="83">
        <v>21.5</v>
      </c>
      <c r="V25" s="83"/>
      <c r="W25" s="83">
        <v>20.5</v>
      </c>
      <c r="X25" s="83">
        <v>20</v>
      </c>
      <c r="Y25" s="83">
        <f>27.2-5.9</f>
        <v>21.299999999999997</v>
      </c>
      <c r="Z25" s="83">
        <v>22.3</v>
      </c>
      <c r="AA25" s="83"/>
      <c r="AB25" s="83">
        <v>21.4</v>
      </c>
      <c r="AC25" s="83">
        <v>18.399999999999999</v>
      </c>
      <c r="AD25" s="83">
        <v>13.6</v>
      </c>
      <c r="AE25" s="83">
        <v>26.9</v>
      </c>
      <c r="AF25" s="83"/>
      <c r="AG25" s="83">
        <v>11.2</v>
      </c>
      <c r="AH25" s="83">
        <v>25</v>
      </c>
      <c r="AI25" s="83">
        <v>12.4</v>
      </c>
      <c r="AJ25" s="83">
        <v>31.9</v>
      </c>
      <c r="AL25" s="83">
        <v>15</v>
      </c>
      <c r="AM25" s="83">
        <v>30.7</v>
      </c>
      <c r="AO25" s="83">
        <f>'3a. Key Metrics Annual'!E22</f>
        <v>61.8</v>
      </c>
      <c r="AP25" s="83">
        <f>'3a. Key Metrics Annual'!F22</f>
        <v>75.400000000000006</v>
      </c>
      <c r="AQ25" s="83">
        <f>'3a. Key Metrics Annual'!G22</f>
        <v>59.1</v>
      </c>
      <c r="AR25" s="83">
        <f>SUM(M25:P25)</f>
        <v>46.5</v>
      </c>
      <c r="AS25" s="83">
        <f t="shared" si="2"/>
        <v>80.800000000000011</v>
      </c>
      <c r="AT25" s="83">
        <f t="shared" si="3"/>
        <v>84.1</v>
      </c>
      <c r="AU25" s="83">
        <f t="shared" si="5"/>
        <v>80.3</v>
      </c>
      <c r="AV25" s="83">
        <f t="shared" si="4"/>
        <v>80.5</v>
      </c>
    </row>
    <row r="26" spans="1:52" hidden="1" outlineLevel="1">
      <c r="A26" s="72" t="s">
        <v>173</v>
      </c>
      <c r="C26" s="83">
        <v>0</v>
      </c>
      <c r="D26" s="83">
        <v>0</v>
      </c>
      <c r="E26" s="83">
        <v>0</v>
      </c>
      <c r="F26" s="83">
        <v>0</v>
      </c>
      <c r="H26" s="83">
        <v>0</v>
      </c>
      <c r="I26" s="83">
        <v>0</v>
      </c>
      <c r="J26" s="83">
        <v>0</v>
      </c>
      <c r="K26" s="83">
        <v>-0.3</v>
      </c>
      <c r="M26" s="83">
        <v>-4.5999999999999996</v>
      </c>
      <c r="N26" s="83">
        <v>-5.7</v>
      </c>
      <c r="O26" s="83">
        <v>0</v>
      </c>
      <c r="P26" s="83">
        <v>-8</v>
      </c>
      <c r="Q26" s="83"/>
      <c r="R26" s="83">
        <v>-7</v>
      </c>
      <c r="S26" s="83">
        <v>-3</v>
      </c>
      <c r="T26" s="83">
        <v>0</v>
      </c>
      <c r="U26" s="83">
        <v>0</v>
      </c>
      <c r="V26" s="83"/>
      <c r="W26" s="83">
        <v>0</v>
      </c>
      <c r="X26" s="83">
        <v>0</v>
      </c>
      <c r="Y26" s="83">
        <v>0</v>
      </c>
      <c r="Z26" s="83">
        <v>0</v>
      </c>
      <c r="AA26" s="83"/>
      <c r="AB26" s="83">
        <v>0</v>
      </c>
      <c r="AC26" s="83">
        <v>0</v>
      </c>
      <c r="AD26" s="83">
        <v>0</v>
      </c>
      <c r="AE26" s="83">
        <v>0</v>
      </c>
      <c r="AF26" s="83"/>
      <c r="AG26" s="83"/>
      <c r="AH26" s="83"/>
      <c r="AI26" s="83"/>
      <c r="AJ26" s="83"/>
      <c r="AL26" s="83"/>
      <c r="AM26" s="83"/>
      <c r="AO26" s="83">
        <f>'3a. Key Metrics Annual'!E23</f>
        <v>0</v>
      </c>
      <c r="AP26" s="83">
        <f>'3a. Key Metrics Annual'!F23</f>
        <v>0</v>
      </c>
      <c r="AQ26" s="83">
        <f>'3a. Key Metrics Annual'!G23</f>
        <v>-0.3</v>
      </c>
      <c r="AR26" s="83">
        <f>SUM(M26:P26)</f>
        <v>-18.3</v>
      </c>
      <c r="AS26" s="83">
        <f t="shared" si="2"/>
        <v>-10</v>
      </c>
      <c r="AT26" s="83">
        <f t="shared" si="3"/>
        <v>0</v>
      </c>
      <c r="AU26" s="83">
        <f t="shared" si="5"/>
        <v>0</v>
      </c>
      <c r="AV26" s="83">
        <f t="shared" si="4"/>
        <v>0</v>
      </c>
    </row>
    <row r="27" spans="1:52" collapsed="1">
      <c r="A27" s="72" t="s">
        <v>130</v>
      </c>
      <c r="C27" s="83">
        <v>0.7</v>
      </c>
      <c r="D27" s="83">
        <v>0.7</v>
      </c>
      <c r="E27" s="83">
        <v>0.8</v>
      </c>
      <c r="F27" s="83">
        <v>1</v>
      </c>
      <c r="H27" s="83">
        <v>0.6</v>
      </c>
      <c r="I27" s="83">
        <v>29.7</v>
      </c>
      <c r="J27" s="83">
        <v>0.4</v>
      </c>
      <c r="K27" s="83">
        <f>1+0.2</f>
        <v>1.2</v>
      </c>
      <c r="M27" s="83">
        <v>0.3</v>
      </c>
      <c r="N27" s="83">
        <v>0.1</v>
      </c>
      <c r="O27" s="83">
        <v>0.4</v>
      </c>
      <c r="P27" s="83">
        <v>2.7</v>
      </c>
      <c r="Q27" s="83"/>
      <c r="R27" s="83">
        <v>5.5</v>
      </c>
      <c r="S27" s="83">
        <v>18.5</v>
      </c>
      <c r="T27" s="83">
        <v>5.4</v>
      </c>
      <c r="U27" s="83">
        <v>6.4</v>
      </c>
      <c r="V27" s="83"/>
      <c r="W27" s="83">
        <v>9.6</v>
      </c>
      <c r="X27" s="83">
        <v>4.2</v>
      </c>
      <c r="Y27" s="83">
        <v>5.5</v>
      </c>
      <c r="Z27" s="83">
        <v>12.9</v>
      </c>
      <c r="AA27" s="83"/>
      <c r="AB27" s="83">
        <v>7.1</v>
      </c>
      <c r="AC27" s="83">
        <v>4.5999999999999996</v>
      </c>
      <c r="AD27" s="83">
        <v>2.7</v>
      </c>
      <c r="AE27" s="83">
        <v>5.0999999999999996</v>
      </c>
      <c r="AF27" s="83"/>
      <c r="AG27" s="83">
        <v>3.5</v>
      </c>
      <c r="AH27" s="83">
        <v>9.6</v>
      </c>
      <c r="AI27" s="83">
        <v>7.3</v>
      </c>
      <c r="AJ27" s="83">
        <v>7</v>
      </c>
      <c r="AL27" s="83">
        <v>38.700000000000003</v>
      </c>
      <c r="AM27" s="83">
        <v>8.1999999999999993</v>
      </c>
      <c r="AO27" s="83">
        <f>'3a. Key Metrics Annual'!E24</f>
        <v>13</v>
      </c>
      <c r="AP27" s="83">
        <f>'3a. Key Metrics Annual'!F24</f>
        <v>3.2</v>
      </c>
      <c r="AQ27" s="83">
        <f>'3a. Key Metrics Annual'!G24</f>
        <v>31.9</v>
      </c>
      <c r="AR27" s="83">
        <f>SUM(M27:P27)</f>
        <v>3.5</v>
      </c>
      <c r="AS27" s="83">
        <f t="shared" si="2"/>
        <v>35.799999999999997</v>
      </c>
      <c r="AT27" s="83">
        <f t="shared" si="3"/>
        <v>32.200000000000003</v>
      </c>
      <c r="AU27" s="83">
        <f t="shared" si="5"/>
        <v>19.5</v>
      </c>
      <c r="AV27" s="83">
        <f t="shared" si="4"/>
        <v>27.4</v>
      </c>
    </row>
    <row r="28" spans="1:52">
      <c r="A28" s="72" t="s">
        <v>131</v>
      </c>
      <c r="C28" s="83">
        <v>-8.4</v>
      </c>
      <c r="D28" s="83">
        <v>-10.199999999999999</v>
      </c>
      <c r="E28" s="83">
        <v>-22.8</v>
      </c>
      <c r="F28" s="83">
        <v>-26.5</v>
      </c>
      <c r="H28" s="83">
        <v>-8.1999999999999993</v>
      </c>
      <c r="I28" s="83">
        <v>-14.8</v>
      </c>
      <c r="J28" s="83">
        <v>-11.3</v>
      </c>
      <c r="K28" s="83">
        <v>-21.5</v>
      </c>
      <c r="M28" s="83">
        <v>-12</v>
      </c>
      <c r="N28" s="83">
        <v>-14.6</v>
      </c>
      <c r="O28" s="83">
        <v>-16.2</v>
      </c>
      <c r="P28" s="83">
        <v>-18.7</v>
      </c>
      <c r="Q28" s="83"/>
      <c r="R28" s="83">
        <v>-19.8</v>
      </c>
      <c r="S28" s="83">
        <v>-16.7</v>
      </c>
      <c r="T28" s="83">
        <v>-23.7</v>
      </c>
      <c r="U28" s="83">
        <v>-23</v>
      </c>
      <c r="V28" s="83"/>
      <c r="W28" s="83">
        <v>-16.100000000000001</v>
      </c>
      <c r="X28" s="83">
        <v>-19.8</v>
      </c>
      <c r="Y28" s="83">
        <v>-13.6</v>
      </c>
      <c r="Z28" s="83">
        <v>-38.200000000000003</v>
      </c>
      <c r="AA28" s="83"/>
      <c r="AB28" s="83">
        <v>-29.4</v>
      </c>
      <c r="AC28" s="83">
        <v>-16.5</v>
      </c>
      <c r="AD28" s="83">
        <v>-25.2</v>
      </c>
      <c r="AE28" s="83">
        <v>-16.5</v>
      </c>
      <c r="AF28" s="83"/>
      <c r="AG28" s="83">
        <v>-13.5</v>
      </c>
      <c r="AH28" s="83">
        <v>-17.2</v>
      </c>
      <c r="AI28" s="83">
        <v>-8.4</v>
      </c>
      <c r="AJ28" s="83">
        <v>-27.4</v>
      </c>
      <c r="AL28" s="83">
        <v>-9</v>
      </c>
      <c r="AM28" s="83">
        <v>-12.1</v>
      </c>
      <c r="AO28" s="83">
        <f>'3a. Key Metrics Annual'!E25</f>
        <v>-52.1</v>
      </c>
      <c r="AP28" s="83">
        <f>'3a. Key Metrics Annual'!F25</f>
        <v>-67.900000000000006</v>
      </c>
      <c r="AQ28" s="83">
        <f>'3a. Key Metrics Annual'!G25</f>
        <v>-55.8</v>
      </c>
      <c r="AR28" s="83">
        <f>SUM(M28:P28)</f>
        <v>-61.5</v>
      </c>
      <c r="AS28" s="83">
        <f t="shared" si="2"/>
        <v>-83.2</v>
      </c>
      <c r="AT28" s="83">
        <f t="shared" si="3"/>
        <v>-87.700000000000017</v>
      </c>
      <c r="AU28" s="83">
        <f t="shared" si="5"/>
        <v>-87.6</v>
      </c>
      <c r="AV28" s="83">
        <f t="shared" si="4"/>
        <v>-66.5</v>
      </c>
    </row>
    <row r="29" spans="1:52" hidden="1" outlineLevel="1">
      <c r="A29" s="72" t="s">
        <v>194</v>
      </c>
      <c r="C29" s="83">
        <v>0</v>
      </c>
      <c r="D29" s="83">
        <v>0</v>
      </c>
      <c r="E29" s="83">
        <v>0</v>
      </c>
      <c r="F29" s="83">
        <v>0</v>
      </c>
      <c r="H29" s="83">
        <v>0</v>
      </c>
      <c r="I29" s="83">
        <v>0</v>
      </c>
      <c r="J29" s="83">
        <v>0</v>
      </c>
      <c r="K29" s="83">
        <v>0</v>
      </c>
      <c r="M29" s="83">
        <v>0</v>
      </c>
      <c r="N29" s="83">
        <v>0</v>
      </c>
      <c r="O29" s="83">
        <v>0</v>
      </c>
      <c r="P29" s="83">
        <v>0</v>
      </c>
      <c r="Q29" s="83"/>
      <c r="R29" s="83">
        <v>0</v>
      </c>
      <c r="S29" s="83">
        <v>0</v>
      </c>
      <c r="T29" s="83">
        <v>0</v>
      </c>
      <c r="U29" s="83">
        <v>0</v>
      </c>
      <c r="V29" s="83"/>
      <c r="W29" s="83">
        <v>0</v>
      </c>
      <c r="X29" s="83">
        <v>0</v>
      </c>
      <c r="Y29" s="83">
        <v>6</v>
      </c>
      <c r="Z29" s="83">
        <v>1.3</v>
      </c>
      <c r="AA29" s="83"/>
      <c r="AB29" s="83">
        <v>0</v>
      </c>
      <c r="AC29" s="83">
        <v>0</v>
      </c>
      <c r="AD29" s="83">
        <v>0</v>
      </c>
      <c r="AE29" s="83">
        <v>0</v>
      </c>
      <c r="AF29" s="83"/>
      <c r="AG29" s="83">
        <v>0</v>
      </c>
      <c r="AH29" s="83">
        <v>0</v>
      </c>
      <c r="AI29" s="83">
        <v>0</v>
      </c>
      <c r="AJ29" s="83">
        <v>0</v>
      </c>
      <c r="AL29" s="83"/>
      <c r="AM29" s="83"/>
      <c r="AO29" s="83"/>
      <c r="AP29" s="83"/>
      <c r="AQ29" s="83"/>
      <c r="AR29" s="83"/>
      <c r="AS29" s="83">
        <v>0</v>
      </c>
      <c r="AT29" s="83">
        <f t="shared" si="3"/>
        <v>7.3</v>
      </c>
      <c r="AU29" s="83">
        <f t="shared" si="5"/>
        <v>0</v>
      </c>
      <c r="AV29" s="83">
        <f t="shared" si="4"/>
        <v>0</v>
      </c>
    </row>
    <row r="30" spans="1:52" collapsed="1">
      <c r="A30" s="72" t="s">
        <v>226</v>
      </c>
      <c r="C30" s="83"/>
      <c r="D30" s="83"/>
      <c r="E30" s="83"/>
      <c r="F30" s="83"/>
      <c r="H30" s="83"/>
      <c r="I30" s="83"/>
      <c r="J30" s="83"/>
      <c r="K30" s="83"/>
      <c r="M30" s="83"/>
      <c r="N30" s="83"/>
      <c r="O30" s="83"/>
      <c r="P30" s="83"/>
      <c r="Q30" s="83"/>
      <c r="R30" s="83"/>
      <c r="S30" s="83"/>
      <c r="T30" s="83"/>
      <c r="U30" s="83"/>
      <c r="V30" s="83"/>
      <c r="W30" s="83">
        <v>0</v>
      </c>
      <c r="X30" s="83">
        <v>0</v>
      </c>
      <c r="Y30" s="83">
        <v>0</v>
      </c>
      <c r="Z30" s="83">
        <v>0</v>
      </c>
      <c r="AA30" s="83"/>
      <c r="AB30" s="83">
        <v>0</v>
      </c>
      <c r="AC30" s="83">
        <v>0</v>
      </c>
      <c r="AD30" s="83">
        <v>0</v>
      </c>
      <c r="AE30" s="83">
        <v>0</v>
      </c>
      <c r="AF30" s="83"/>
      <c r="AG30" s="83">
        <v>0</v>
      </c>
      <c r="AH30" s="83">
        <v>0.4</v>
      </c>
      <c r="AI30" s="83">
        <v>15.3</v>
      </c>
      <c r="AJ30" s="83">
        <v>3.7</v>
      </c>
      <c r="AL30" s="83">
        <v>2.2999999999999998</v>
      </c>
      <c r="AM30" s="95">
        <v>0.8</v>
      </c>
      <c r="AO30" s="83"/>
      <c r="AP30" s="83"/>
      <c r="AQ30" s="83"/>
      <c r="AR30" s="83"/>
      <c r="AS30" s="83"/>
      <c r="AT30" s="83">
        <v>0</v>
      </c>
      <c r="AU30" s="83">
        <v>0</v>
      </c>
      <c r="AV30" s="83">
        <f t="shared" si="4"/>
        <v>19.400000000000002</v>
      </c>
    </row>
    <row r="31" spans="1:52" s="104" customFormat="1" ht="14" thickBot="1">
      <c r="A31" s="72" t="s">
        <v>133</v>
      </c>
      <c r="C31" s="127">
        <f>SUM(C23:C29)</f>
        <v>49.900000000000098</v>
      </c>
      <c r="D31" s="127">
        <f>SUM(D23:D28)</f>
        <v>63.5</v>
      </c>
      <c r="E31" s="127">
        <f>SUM(E23:E28)</f>
        <v>56.700000000000102</v>
      </c>
      <c r="F31" s="127">
        <f>SUM(F23:F28)</f>
        <v>21.19999999999996</v>
      </c>
      <c r="G31" s="128"/>
      <c r="H31" s="127">
        <f>SUM(H23:H28)</f>
        <v>85.09999999999998</v>
      </c>
      <c r="I31" s="127">
        <f>SUM(I23:I28)</f>
        <v>77.000000000000028</v>
      </c>
      <c r="J31" s="127">
        <f>SUM(J23:J28)</f>
        <v>79.7</v>
      </c>
      <c r="K31" s="127">
        <f>SUM(K23:K28)</f>
        <v>52.300000000000054</v>
      </c>
      <c r="L31" s="128"/>
      <c r="M31" s="127">
        <f>SUM(M23:M28)</f>
        <v>100.60000000000001</v>
      </c>
      <c r="N31" s="127">
        <f>SUM(N23:N28)</f>
        <v>83.899999999999935</v>
      </c>
      <c r="O31" s="127">
        <f>SUM(O23:O28)</f>
        <v>95.6</v>
      </c>
      <c r="P31" s="127">
        <f>SUM(P23:P28)</f>
        <v>76.59999999999998</v>
      </c>
      <c r="Q31" s="128"/>
      <c r="R31" s="127">
        <f>SUM(R23:R28)</f>
        <v>114.10000000000001</v>
      </c>
      <c r="S31" s="127">
        <f>SUM(S23:S28)</f>
        <v>135</v>
      </c>
      <c r="T31" s="127">
        <f>SUM(T23:T28)</f>
        <v>137.20000000000002</v>
      </c>
      <c r="U31" s="127">
        <f>SUM(U23:U28)</f>
        <v>109.19999999999999</v>
      </c>
      <c r="V31" s="128"/>
      <c r="W31" s="127">
        <f>SUM(W23:W30)</f>
        <v>162.4</v>
      </c>
      <c r="X31" s="127">
        <f>SUM(X23:X30)</f>
        <v>154.69999999999999</v>
      </c>
      <c r="Y31" s="127">
        <f>SUM(Y23:Y30)</f>
        <v>175.6</v>
      </c>
      <c r="Z31" s="127">
        <f>SUM(Z23:Z30)</f>
        <v>126.80000000000001</v>
      </c>
      <c r="AA31" s="128"/>
      <c r="AB31" s="127">
        <f>SUM(AB23:AB30)</f>
        <v>198.79999999999998</v>
      </c>
      <c r="AC31" s="127">
        <f>SUM(AC23:AC30)</f>
        <v>167.8</v>
      </c>
      <c r="AD31" s="127">
        <f>SUM(AD23:AD30)</f>
        <v>191.29999999999998</v>
      </c>
      <c r="AE31" s="127">
        <f>SUM(AE23:AE30)</f>
        <v>177.7</v>
      </c>
      <c r="AF31" s="128"/>
      <c r="AG31" s="127">
        <f>SUM(AG23:AG30)</f>
        <v>234.5</v>
      </c>
      <c r="AH31" s="127">
        <f>SUM(AH23:AH30)</f>
        <v>185.9</v>
      </c>
      <c r="AI31" s="127">
        <f>SUM(AI23:AI30)</f>
        <v>223.90000000000003</v>
      </c>
      <c r="AJ31" s="127">
        <f>SUM(AJ23:AJ30)</f>
        <v>181.1</v>
      </c>
      <c r="AK31" s="128"/>
      <c r="AL31" s="127">
        <f>SUM(AL23:AL30)</f>
        <v>268.3</v>
      </c>
      <c r="AM31" s="127">
        <f>SUM(AM23:AM30)</f>
        <v>237</v>
      </c>
      <c r="AN31" s="128"/>
      <c r="AO31" s="127">
        <f>SUM(AO23:AO28)</f>
        <v>176.00000000000014</v>
      </c>
      <c r="AP31" s="127">
        <f>SUM(AP23:AP28)</f>
        <v>191.2999999999997</v>
      </c>
      <c r="AQ31" s="127">
        <f>SUM(AQ23:AQ28)</f>
        <v>294.10000000000019</v>
      </c>
      <c r="AR31" s="127">
        <f>SUM(AR23:AR28)</f>
        <v>356.69999999999982</v>
      </c>
      <c r="AS31" s="127">
        <f>SUM(AS23:AS28)</f>
        <v>495.49999999999994</v>
      </c>
      <c r="AT31" s="127">
        <f>SUM(AT23:AT30)</f>
        <v>619.49999999999989</v>
      </c>
      <c r="AU31" s="127">
        <f>SUM(AU23:AU30)</f>
        <v>735.6</v>
      </c>
      <c r="AV31" s="127">
        <f t="shared" si="4"/>
        <v>825.4</v>
      </c>
    </row>
    <row r="32" spans="1:52" ht="14" thickTop="1">
      <c r="A32" s="202"/>
      <c r="AA32" s="82"/>
      <c r="AM32" s="100"/>
    </row>
    <row r="33" spans="1:48" ht="5.25" customHeight="1">
      <c r="F33" s="100"/>
      <c r="K33" s="100"/>
      <c r="AA33" s="82"/>
    </row>
    <row r="34" spans="1:48" ht="4.5" customHeight="1">
      <c r="A34" s="166"/>
      <c r="F34" s="100"/>
      <c r="K34" s="100"/>
      <c r="AA34" s="82"/>
    </row>
    <row r="35" spans="1:48">
      <c r="A35" s="104" t="s">
        <v>210</v>
      </c>
      <c r="AA35" s="82"/>
    </row>
    <row r="36" spans="1:48" ht="13" customHeight="1">
      <c r="A36" s="72" t="s">
        <v>143</v>
      </c>
      <c r="W36" s="83">
        <v>4.2</v>
      </c>
      <c r="X36" s="83">
        <v>20.2</v>
      </c>
      <c r="Y36" s="83">
        <v>14.1</v>
      </c>
      <c r="Z36" s="83">
        <v>43.5</v>
      </c>
      <c r="AA36" s="83"/>
      <c r="AB36" s="83">
        <v>13.2</v>
      </c>
      <c r="AC36" s="83">
        <v>-12.7</v>
      </c>
      <c r="AD36" s="83">
        <v>76.8</v>
      </c>
      <c r="AE36" s="83">
        <v>61.1</v>
      </c>
      <c r="AF36" s="83"/>
      <c r="AG36" s="83">
        <v>43.2</v>
      </c>
      <c r="AH36" s="83">
        <v>-673.2</v>
      </c>
      <c r="AI36" s="83">
        <v>65.099999999999994</v>
      </c>
      <c r="AJ36" s="83">
        <v>70.8</v>
      </c>
      <c r="AL36" s="83">
        <v>10.8</v>
      </c>
      <c r="AM36" s="83">
        <v>46.9</v>
      </c>
      <c r="AO36" s="83"/>
      <c r="AP36" s="83"/>
      <c r="AQ36" s="83"/>
      <c r="AR36" s="83"/>
      <c r="AS36" s="83"/>
      <c r="AT36" s="83">
        <v>82</v>
      </c>
      <c r="AU36" s="83">
        <v>138.4</v>
      </c>
      <c r="AV36" s="83">
        <f t="shared" ref="AV36:AV44" si="6">SUM(AG36:AJ36)</f>
        <v>-494.09999999999997</v>
      </c>
    </row>
    <row r="37" spans="1:48" ht="13" customHeight="1">
      <c r="A37" s="72" t="s">
        <v>211</v>
      </c>
      <c r="W37" s="83">
        <v>21.9</v>
      </c>
      <c r="X37" s="83">
        <v>22.1</v>
      </c>
      <c r="Y37" s="83">
        <v>21.4</v>
      </c>
      <c r="Z37" s="83">
        <v>20.399999999999999</v>
      </c>
      <c r="AA37" s="83"/>
      <c r="AB37" s="83">
        <v>18.600000000000001</v>
      </c>
      <c r="AC37" s="83">
        <v>16.600000000000001</v>
      </c>
      <c r="AD37" s="83">
        <v>17.100000000000001</v>
      </c>
      <c r="AE37" s="83">
        <v>17.600000000000001</v>
      </c>
      <c r="AF37" s="83"/>
      <c r="AG37" s="83">
        <v>17.899999999999999</v>
      </c>
      <c r="AH37" s="83">
        <v>18.8</v>
      </c>
      <c r="AI37" s="83">
        <v>23.6</v>
      </c>
      <c r="AJ37" s="83">
        <v>26.6</v>
      </c>
      <c r="AL37" s="83">
        <v>28.4</v>
      </c>
      <c r="AM37" s="83">
        <v>32.299999999999997</v>
      </c>
      <c r="AO37" s="83"/>
      <c r="AP37" s="83"/>
      <c r="AQ37" s="83"/>
      <c r="AR37" s="83"/>
      <c r="AS37" s="83"/>
      <c r="AT37" s="83">
        <v>85.8</v>
      </c>
      <c r="AU37" s="83">
        <v>69.900000000000006</v>
      </c>
      <c r="AV37" s="83">
        <f t="shared" si="6"/>
        <v>86.9</v>
      </c>
    </row>
    <row r="38" spans="1:48" ht="13" customHeight="1">
      <c r="A38" s="72" t="s">
        <v>212</v>
      </c>
      <c r="W38" s="83">
        <v>-0.2</v>
      </c>
      <c r="X38" s="83">
        <v>-1.2</v>
      </c>
      <c r="Y38" s="83">
        <v>-0.9</v>
      </c>
      <c r="Z38" s="83">
        <v>-21.6</v>
      </c>
      <c r="AA38" s="83"/>
      <c r="AB38" s="83">
        <v>-12.6</v>
      </c>
      <c r="AC38" s="83">
        <v>-0.8</v>
      </c>
      <c r="AD38" s="83">
        <v>-2.7</v>
      </c>
      <c r="AE38" s="83">
        <v>-4.5999999999999996</v>
      </c>
      <c r="AF38" s="83"/>
      <c r="AG38" s="83">
        <v>-1.4</v>
      </c>
      <c r="AH38" s="83">
        <v>675.7</v>
      </c>
      <c r="AI38" s="83">
        <v>4.5999999999999996</v>
      </c>
      <c r="AJ38" s="83">
        <v>-5.5</v>
      </c>
      <c r="AL38" s="83">
        <v>-0.8</v>
      </c>
      <c r="AM38" s="83">
        <v>7.6</v>
      </c>
      <c r="AO38" s="83"/>
      <c r="AP38" s="83"/>
      <c r="AQ38" s="83"/>
      <c r="AR38" s="83"/>
      <c r="AS38" s="83"/>
      <c r="AT38" s="83">
        <v>-23.9</v>
      </c>
      <c r="AU38" s="83">
        <v>-20.7</v>
      </c>
      <c r="AV38" s="83">
        <f t="shared" si="6"/>
        <v>673.40000000000009</v>
      </c>
    </row>
    <row r="39" spans="1:48" ht="13" customHeight="1">
      <c r="A39" s="72" t="s">
        <v>18</v>
      </c>
      <c r="W39" s="83">
        <v>57.8</v>
      </c>
      <c r="X39" s="83">
        <v>57</v>
      </c>
      <c r="Y39" s="83">
        <v>61.3</v>
      </c>
      <c r="Z39" s="83">
        <v>58</v>
      </c>
      <c r="AA39" s="83"/>
      <c r="AB39" s="83">
        <v>57.2</v>
      </c>
      <c r="AC39" s="83">
        <v>53.8</v>
      </c>
      <c r="AD39" s="83">
        <v>49.9</v>
      </c>
      <c r="AE39" s="83">
        <v>48.8</v>
      </c>
      <c r="AF39" s="83"/>
      <c r="AG39" s="83">
        <v>52.2</v>
      </c>
      <c r="AH39" s="83">
        <v>48.4</v>
      </c>
      <c r="AI39" s="83">
        <v>50.7</v>
      </c>
      <c r="AJ39" s="83">
        <v>51.4</v>
      </c>
      <c r="AL39" s="83">
        <v>49</v>
      </c>
      <c r="AM39" s="83">
        <v>50</v>
      </c>
      <c r="AO39" s="83"/>
      <c r="AP39" s="83"/>
      <c r="AQ39" s="83"/>
      <c r="AR39" s="83"/>
      <c r="AS39" s="83"/>
      <c r="AT39" s="83">
        <v>234.1</v>
      </c>
      <c r="AU39" s="83">
        <v>209.7</v>
      </c>
      <c r="AV39" s="83">
        <f t="shared" si="6"/>
        <v>202.70000000000002</v>
      </c>
    </row>
    <row r="40" spans="1:48" ht="13" customHeight="1">
      <c r="A40" s="72" t="s">
        <v>216</v>
      </c>
      <c r="W40" s="83">
        <v>31.5</v>
      </c>
      <c r="X40" s="83">
        <v>28.2</v>
      </c>
      <c r="Y40" s="83">
        <v>30.6</v>
      </c>
      <c r="Z40" s="83">
        <v>35.200000000000003</v>
      </c>
      <c r="AA40" s="83"/>
      <c r="AB40" s="83">
        <v>46.9</v>
      </c>
      <c r="AC40" s="83">
        <v>41.6</v>
      </c>
      <c r="AD40" s="83">
        <v>17.7</v>
      </c>
      <c r="AE40" s="83">
        <v>40.799999999999997</v>
      </c>
      <c r="AF40" s="83"/>
      <c r="AG40" s="83">
        <v>45.4</v>
      </c>
      <c r="AH40" s="83">
        <v>48.6</v>
      </c>
      <c r="AI40" s="83">
        <v>48.1</v>
      </c>
      <c r="AJ40" s="83">
        <v>49.4</v>
      </c>
      <c r="AL40" s="83">
        <v>52.6</v>
      </c>
      <c r="AM40" s="83">
        <v>51.4</v>
      </c>
      <c r="AO40" s="83"/>
      <c r="AP40" s="83"/>
      <c r="AQ40" s="83"/>
      <c r="AR40" s="83"/>
      <c r="AS40" s="83"/>
      <c r="AT40" s="83">
        <v>125.5</v>
      </c>
      <c r="AU40" s="83">
        <v>147</v>
      </c>
      <c r="AV40" s="83">
        <f t="shared" si="6"/>
        <v>191.5</v>
      </c>
    </row>
    <row r="41" spans="1:48" ht="13" customHeight="1">
      <c r="A41" s="72" t="s">
        <v>213</v>
      </c>
      <c r="W41" s="83">
        <v>6.3</v>
      </c>
      <c r="X41" s="83">
        <v>10.199999999999999</v>
      </c>
      <c r="Y41" s="83">
        <v>9.1999999999999993</v>
      </c>
      <c r="Z41" s="83">
        <v>7</v>
      </c>
      <c r="AA41" s="83"/>
      <c r="AB41" s="83">
        <v>2.6</v>
      </c>
      <c r="AC41" s="83">
        <v>2.6</v>
      </c>
      <c r="AD41" s="83">
        <v>1.5</v>
      </c>
      <c r="AE41" s="83">
        <v>2.7</v>
      </c>
      <c r="AF41" s="83"/>
      <c r="AG41" s="83">
        <v>9.9</v>
      </c>
      <c r="AH41" s="83">
        <v>4.5999999999999996</v>
      </c>
      <c r="AI41" s="83">
        <v>5.2</v>
      </c>
      <c r="AJ41" s="83">
        <v>5.3</v>
      </c>
      <c r="AL41" s="199">
        <v>46.9</v>
      </c>
      <c r="AM41" s="83">
        <v>8.6999999999999993</v>
      </c>
      <c r="AO41" s="83"/>
      <c r="AP41" s="83"/>
      <c r="AQ41" s="83"/>
      <c r="AR41" s="83"/>
      <c r="AS41" s="83"/>
      <c r="AT41" s="83">
        <v>32.700000000000003</v>
      </c>
      <c r="AU41" s="83">
        <v>9.4</v>
      </c>
      <c r="AV41" s="83">
        <f t="shared" si="6"/>
        <v>25</v>
      </c>
    </row>
    <row r="42" spans="1:48" ht="13" customHeight="1">
      <c r="A42" s="72" t="s">
        <v>220</v>
      </c>
      <c r="W42" s="83"/>
      <c r="X42" s="83"/>
      <c r="Y42" s="83"/>
      <c r="Z42" s="83"/>
      <c r="AA42" s="83"/>
      <c r="AB42" s="83"/>
      <c r="AC42" s="83"/>
      <c r="AD42" s="83"/>
      <c r="AE42" s="83"/>
      <c r="AF42" s="83"/>
      <c r="AG42" s="83"/>
      <c r="AH42" s="83">
        <v>39.4</v>
      </c>
      <c r="AI42" s="199">
        <v>6.3</v>
      </c>
      <c r="AJ42" s="83">
        <v>1.1000000000000001</v>
      </c>
      <c r="AL42" s="83">
        <v>5.2</v>
      </c>
      <c r="AM42" s="83">
        <v>1.4</v>
      </c>
      <c r="AO42" s="83"/>
      <c r="AP42" s="83"/>
      <c r="AQ42" s="83"/>
      <c r="AR42" s="83"/>
      <c r="AS42" s="83"/>
      <c r="AT42" s="83"/>
      <c r="AU42" s="83"/>
      <c r="AV42" s="83">
        <f t="shared" si="6"/>
        <v>46.8</v>
      </c>
    </row>
    <row r="43" spans="1:48" ht="13" customHeight="1">
      <c r="A43" s="72" t="s">
        <v>214</v>
      </c>
      <c r="W43" s="83">
        <v>0</v>
      </c>
      <c r="X43" s="83">
        <v>0</v>
      </c>
      <c r="Y43" s="83">
        <v>0</v>
      </c>
      <c r="Z43" s="83">
        <v>0</v>
      </c>
      <c r="AA43" s="83">
        <v>0</v>
      </c>
      <c r="AB43" s="83">
        <v>0</v>
      </c>
      <c r="AC43" s="83">
        <v>18.100000000000001</v>
      </c>
      <c r="AD43" s="83">
        <v>0</v>
      </c>
      <c r="AE43" s="83">
        <v>0</v>
      </c>
      <c r="AF43" s="83"/>
      <c r="AG43" s="83">
        <v>-2.9</v>
      </c>
      <c r="AH43" s="83">
        <v>0</v>
      </c>
      <c r="AI43" s="83">
        <v>-4.8</v>
      </c>
      <c r="AJ43" s="83">
        <v>-2.2999999999999998</v>
      </c>
      <c r="AL43" s="83">
        <v>0</v>
      </c>
      <c r="AM43" s="83">
        <v>0</v>
      </c>
      <c r="AO43" s="83"/>
      <c r="AP43" s="83"/>
      <c r="AQ43" s="83"/>
      <c r="AR43" s="83"/>
      <c r="AS43" s="83"/>
      <c r="AT43" s="83">
        <v>0</v>
      </c>
      <c r="AU43" s="83">
        <v>18.100000000000001</v>
      </c>
      <c r="AV43" s="83">
        <f t="shared" si="6"/>
        <v>-10</v>
      </c>
    </row>
    <row r="44" spans="1:48" ht="13" customHeight="1">
      <c r="A44" s="72" t="s">
        <v>215</v>
      </c>
      <c r="W44" s="83">
        <v>0</v>
      </c>
      <c r="X44" s="83">
        <v>0</v>
      </c>
      <c r="Y44" s="83">
        <v>0</v>
      </c>
      <c r="Z44" s="83">
        <v>0</v>
      </c>
      <c r="AA44" s="83">
        <v>0</v>
      </c>
      <c r="AB44" s="83">
        <v>0</v>
      </c>
      <c r="AC44" s="83">
        <v>14.5</v>
      </c>
      <c r="AD44" s="83">
        <v>0</v>
      </c>
      <c r="AE44" s="83">
        <v>0.3</v>
      </c>
      <c r="AF44" s="83"/>
      <c r="AG44" s="83">
        <v>0</v>
      </c>
      <c r="AH44" s="83">
        <v>0</v>
      </c>
      <c r="AI44" s="83">
        <v>0</v>
      </c>
      <c r="AJ44" s="83">
        <v>0</v>
      </c>
      <c r="AL44" s="83">
        <v>0</v>
      </c>
      <c r="AM44" s="83">
        <v>0</v>
      </c>
      <c r="AO44" s="83"/>
      <c r="AP44" s="83"/>
      <c r="AQ44" s="83"/>
      <c r="AR44" s="83"/>
      <c r="AS44" s="83"/>
      <c r="AT44" s="83">
        <v>0</v>
      </c>
      <c r="AU44" s="83">
        <v>14.8</v>
      </c>
      <c r="AV44" s="83">
        <f t="shared" si="6"/>
        <v>0</v>
      </c>
    </row>
    <row r="45" spans="1:48" ht="13" customHeight="1">
      <c r="A45" s="72" t="s">
        <v>15</v>
      </c>
      <c r="W45" s="83"/>
      <c r="X45" s="83"/>
      <c r="Y45" s="83"/>
      <c r="Z45" s="83"/>
      <c r="AA45" s="83"/>
      <c r="AB45" s="83"/>
      <c r="AC45" s="83"/>
      <c r="AD45" s="83"/>
      <c r="AE45" s="83"/>
      <c r="AF45" s="83"/>
      <c r="AG45" s="83"/>
      <c r="AH45" s="83"/>
      <c r="AI45" s="83"/>
      <c r="AJ45" s="83"/>
      <c r="AL45" s="83">
        <v>0.1</v>
      </c>
      <c r="AM45" s="95">
        <v>0</v>
      </c>
      <c r="AO45" s="83"/>
      <c r="AP45" s="83"/>
      <c r="AQ45" s="83"/>
      <c r="AR45" s="83"/>
      <c r="AS45" s="83"/>
      <c r="AT45" s="83"/>
      <c r="AU45" s="83"/>
      <c r="AV45" s="83"/>
    </row>
    <row r="46" spans="1:48" ht="13" customHeight="1" thickBot="1">
      <c r="A46" s="72" t="s">
        <v>210</v>
      </c>
      <c r="W46" s="127">
        <v>121.5</v>
      </c>
      <c r="X46" s="127">
        <v>136.5</v>
      </c>
      <c r="Y46" s="127">
        <v>135.69999999999999</v>
      </c>
      <c r="Z46" s="127">
        <v>142.5</v>
      </c>
      <c r="AA46" s="128"/>
      <c r="AB46" s="127">
        <f>SUM(AB36:AB44)</f>
        <v>125.9</v>
      </c>
      <c r="AC46" s="127">
        <f>SUM(AC36:AC44)</f>
        <v>133.69999999999999</v>
      </c>
      <c r="AD46" s="127">
        <f>SUM(AD36:AD44)</f>
        <v>160.29999999999998</v>
      </c>
      <c r="AE46" s="127">
        <f>SUM(AE36:AE44)</f>
        <v>166.7</v>
      </c>
      <c r="AF46" s="128"/>
      <c r="AG46" s="127">
        <f>SUM(AG36:AG44)</f>
        <v>164.3</v>
      </c>
      <c r="AH46" s="127">
        <f>SUM(AH36:AH44)</f>
        <v>162.29999999999995</v>
      </c>
      <c r="AI46" s="127">
        <f>SUM(AI36:AI44)</f>
        <v>198.79999999999998</v>
      </c>
      <c r="AJ46" s="127">
        <f>SUM(AJ36:AJ44)</f>
        <v>196.8</v>
      </c>
      <c r="AK46" s="128"/>
      <c r="AL46" s="127">
        <f>SUM(AL36:AL45)</f>
        <v>192.2</v>
      </c>
      <c r="AM46" s="142">
        <f>SUM(AM36:AM45)</f>
        <v>198.29999999999998</v>
      </c>
      <c r="AN46" s="128"/>
      <c r="AO46" s="127"/>
      <c r="AP46" s="127"/>
      <c r="AQ46" s="127"/>
      <c r="AR46" s="127"/>
      <c r="AS46" s="127"/>
      <c r="AT46" s="127">
        <v>536.20000000000005</v>
      </c>
      <c r="AU46" s="127">
        <v>586.6</v>
      </c>
      <c r="AV46" s="127">
        <f>SUM(AG46:AJ46)</f>
        <v>722.2</v>
      </c>
    </row>
    <row r="47" spans="1:48" ht="14" thickTop="1">
      <c r="AA47" s="82"/>
    </row>
  </sheetData>
  <mergeCells count="7">
    <mergeCell ref="C3:AM3"/>
    <mergeCell ref="C2:AM2"/>
    <mergeCell ref="AO7:AV7"/>
    <mergeCell ref="AO6:AV6"/>
    <mergeCell ref="C6:AM6"/>
    <mergeCell ref="C7:AM7"/>
    <mergeCell ref="C4:AM4"/>
  </mergeCells>
  <pageMargins left="0.7" right="0.7" top="0.75" bottom="0.75" header="0.3" footer="0.3"/>
  <pageSetup scale="46" orientation="landscape" r:id="rId1"/>
  <headerFooter>
    <oddFooter>Page &amp;P</oddFooter>
  </headerFooter>
  <colBreaks count="1" manualBreakCount="1">
    <brk id="4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I45"/>
  <sheetViews>
    <sheetView zoomScaleNormal="100" workbookViewId="0"/>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1.59765625" style="72" hidden="1" customWidth="1" outlineLevel="1" collapsed="1"/>
    <col min="8" max="9" width="11.59765625" style="72" hidden="1" customWidth="1" outlineLevel="1"/>
    <col min="10" max="10" width="11.59765625" style="72" customWidth="1" collapsed="1"/>
    <col min="11" max="12" width="11.59765625" style="72" customWidth="1"/>
    <col min="13" max="13" width="9.3984375" style="82" customWidth="1"/>
    <col min="14" max="18" width="9" style="82"/>
    <col min="19" max="22" width="11.796875" style="82" customWidth="1"/>
    <col min="23" max="23" width="9" style="82"/>
    <col min="24" max="27" width="11.796875" style="82" customWidth="1"/>
    <col min="28" max="28" width="9" style="82"/>
    <col min="29" max="30" width="11.796875" style="82" customWidth="1"/>
    <col min="31" max="31" width="11.796875" style="72" customWidth="1"/>
    <col min="32" max="35" width="9" style="72"/>
    <col min="36" max="38" width="11.796875" style="72" customWidth="1"/>
    <col min="39" max="16384" width="9" style="72"/>
  </cols>
  <sheetData>
    <row r="2" spans="1:35" ht="18">
      <c r="C2" s="225" t="s">
        <v>98</v>
      </c>
      <c r="D2" s="225"/>
      <c r="E2" s="225"/>
      <c r="F2" s="225"/>
      <c r="G2" s="225"/>
      <c r="H2" s="225"/>
      <c r="I2" s="225"/>
      <c r="J2" s="225"/>
      <c r="K2" s="225"/>
      <c r="L2" s="225"/>
      <c r="M2" s="70"/>
      <c r="N2" s="70"/>
      <c r="O2" s="70"/>
      <c r="P2" s="70"/>
      <c r="Q2" s="70"/>
      <c r="R2" s="70"/>
      <c r="S2" s="70"/>
      <c r="T2" s="70"/>
      <c r="U2" s="70"/>
      <c r="V2" s="70"/>
      <c r="W2" s="70"/>
      <c r="X2" s="70"/>
      <c r="Y2" s="70"/>
      <c r="Z2" s="70"/>
      <c r="AA2" s="70"/>
      <c r="AB2" s="70"/>
      <c r="AC2" s="70"/>
      <c r="AD2" s="70"/>
      <c r="AE2" s="70"/>
      <c r="AF2" s="70"/>
      <c r="AG2" s="70"/>
      <c r="AH2" s="70"/>
      <c r="AI2" s="70"/>
    </row>
    <row r="3" spans="1:35" ht="18">
      <c r="C3" s="225" t="s">
        <v>101</v>
      </c>
      <c r="D3" s="225"/>
      <c r="E3" s="225"/>
      <c r="F3" s="225"/>
      <c r="G3" s="225"/>
      <c r="H3" s="225"/>
      <c r="I3" s="225"/>
      <c r="J3" s="225"/>
      <c r="K3" s="225"/>
      <c r="L3" s="225"/>
      <c r="M3" s="70"/>
      <c r="N3" s="70"/>
      <c r="O3" s="70"/>
      <c r="P3" s="70"/>
      <c r="Q3" s="70"/>
      <c r="R3" s="70"/>
      <c r="S3" s="70"/>
      <c r="T3" s="70"/>
      <c r="U3" s="70"/>
      <c r="V3" s="70"/>
      <c r="W3" s="70"/>
      <c r="X3" s="70"/>
      <c r="Y3" s="70"/>
      <c r="Z3" s="70"/>
      <c r="AA3" s="70"/>
      <c r="AB3" s="70"/>
      <c r="AC3" s="70"/>
      <c r="AD3" s="70"/>
      <c r="AE3" s="70"/>
      <c r="AF3" s="70"/>
      <c r="AG3" s="70"/>
      <c r="AH3" s="70"/>
      <c r="AI3" s="70"/>
    </row>
    <row r="4" spans="1:35" ht="13.5" customHeight="1">
      <c r="C4" s="227" t="s">
        <v>112</v>
      </c>
      <c r="D4" s="227"/>
      <c r="E4" s="227"/>
      <c r="F4" s="227"/>
      <c r="G4" s="227"/>
      <c r="H4" s="227"/>
      <c r="I4" s="227"/>
      <c r="J4" s="227"/>
      <c r="K4" s="227"/>
      <c r="L4" s="227"/>
      <c r="M4" s="203"/>
      <c r="N4" s="203"/>
      <c r="O4" s="203"/>
      <c r="P4" s="203"/>
      <c r="Q4" s="203"/>
      <c r="R4" s="203"/>
      <c r="S4" s="203"/>
      <c r="T4" s="203"/>
      <c r="U4" s="203"/>
      <c r="V4" s="203"/>
      <c r="W4" s="203"/>
      <c r="X4" s="203"/>
      <c r="Y4" s="203"/>
      <c r="Z4" s="203"/>
      <c r="AA4" s="203"/>
      <c r="AB4" s="203"/>
      <c r="AC4" s="203"/>
      <c r="AD4" s="203"/>
      <c r="AE4" s="203"/>
      <c r="AF4" s="203"/>
      <c r="AG4" s="203"/>
      <c r="AH4" s="203"/>
      <c r="AI4" s="203"/>
    </row>
    <row r="6" spans="1:35">
      <c r="C6" s="221" t="s">
        <v>107</v>
      </c>
      <c r="D6" s="222"/>
      <c r="E6" s="222"/>
      <c r="F6" s="222"/>
      <c r="G6" s="222"/>
      <c r="H6" s="222"/>
      <c r="I6" s="222"/>
      <c r="J6" s="222"/>
      <c r="K6" s="222"/>
      <c r="L6" s="223"/>
    </row>
    <row r="7" spans="1:35" ht="13" customHeight="1">
      <c r="B7" s="90"/>
      <c r="C7" s="224" t="s">
        <v>113</v>
      </c>
      <c r="D7" s="224"/>
      <c r="E7" s="224"/>
      <c r="F7" s="224"/>
      <c r="G7" s="224"/>
      <c r="H7" s="224"/>
      <c r="I7" s="224"/>
      <c r="J7" s="224"/>
      <c r="K7" s="224"/>
      <c r="L7" s="224"/>
    </row>
    <row r="8" spans="1:35">
      <c r="B8" s="71"/>
      <c r="C8" s="91" t="s">
        <v>127</v>
      </c>
      <c r="D8" s="91" t="s">
        <v>126</v>
      </c>
      <c r="E8" s="91" t="s">
        <v>19</v>
      </c>
      <c r="F8" s="91" t="s">
        <v>24</v>
      </c>
      <c r="G8" s="91" t="s">
        <v>108</v>
      </c>
      <c r="H8" s="91" t="s">
        <v>149</v>
      </c>
      <c r="I8" s="91" t="s">
        <v>180</v>
      </c>
      <c r="J8" s="91" t="s">
        <v>196</v>
      </c>
      <c r="K8" s="91" t="s">
        <v>208</v>
      </c>
      <c r="L8" s="91" t="s">
        <v>224</v>
      </c>
    </row>
    <row r="9" spans="1:35">
      <c r="B9" s="230"/>
      <c r="C9" s="230"/>
      <c r="D9" s="230"/>
      <c r="E9" s="230"/>
      <c r="F9" s="230"/>
      <c r="G9" s="230"/>
      <c r="H9" s="145"/>
      <c r="I9" s="173"/>
      <c r="J9" s="184"/>
      <c r="K9" s="192"/>
      <c r="L9" s="201"/>
    </row>
    <row r="10" spans="1:35">
      <c r="A10" s="104" t="s">
        <v>86</v>
      </c>
    </row>
    <row r="11" spans="1:35">
      <c r="B11" s="67"/>
      <c r="C11" s="67"/>
      <c r="D11" s="67"/>
      <c r="E11" s="67"/>
      <c r="F11" s="67"/>
      <c r="G11" s="67"/>
      <c r="H11" s="67"/>
      <c r="I11" s="67"/>
      <c r="J11" s="67"/>
      <c r="K11" s="67"/>
      <c r="L11" s="67"/>
      <c r="M11" s="81"/>
      <c r="N11" s="121"/>
      <c r="O11" s="121"/>
    </row>
    <row r="12" spans="1:35">
      <c r="A12" s="104" t="s">
        <v>89</v>
      </c>
      <c r="B12" s="67"/>
      <c r="C12" s="67"/>
      <c r="D12" s="67"/>
      <c r="E12" s="67"/>
      <c r="F12" s="67"/>
      <c r="G12" s="67"/>
      <c r="H12" s="67"/>
      <c r="I12" s="67"/>
      <c r="J12" s="67"/>
      <c r="K12" s="67"/>
      <c r="L12" s="67"/>
      <c r="M12" s="81"/>
      <c r="N12" s="121"/>
      <c r="O12" s="121"/>
      <c r="V12" s="122"/>
    </row>
    <row r="13" spans="1:35">
      <c r="A13" s="72" t="s">
        <v>59</v>
      </c>
      <c r="B13" s="93"/>
      <c r="C13" s="93">
        <v>894.3</v>
      </c>
      <c r="D13" s="93">
        <v>910.9</v>
      </c>
      <c r="E13" s="93">
        <f>'2. Income Stmt'!AO15</f>
        <v>1130.8</v>
      </c>
      <c r="F13" s="93">
        <f>'2. Income Stmt'!AP15</f>
        <v>1387.2999999999997</v>
      </c>
      <c r="G13" s="93">
        <f>'2. Income Stmt'!AQ15</f>
        <v>1607.3000000000002</v>
      </c>
      <c r="H13" s="93">
        <f>'2. Income Stmt'!AR15</f>
        <v>1847.9</v>
      </c>
      <c r="I13" s="93">
        <f>'2. Income Stmt'!AS15</f>
        <v>2231.8999999999996</v>
      </c>
      <c r="J13" s="93">
        <f>'2. Income Stmt'!AT15</f>
        <v>2660.1000000000004</v>
      </c>
      <c r="K13" s="93">
        <f>'3. Key Metrics'!AU16</f>
        <v>2988.1</v>
      </c>
      <c r="L13" s="93">
        <f>'3. Key Metrics'!AV16</f>
        <v>3316.7000000000003</v>
      </c>
      <c r="M13" s="81"/>
      <c r="N13" s="121"/>
      <c r="O13" s="121"/>
      <c r="V13" s="122"/>
    </row>
    <row r="14" spans="1:35">
      <c r="A14" s="72" t="s">
        <v>90</v>
      </c>
      <c r="B14" s="67"/>
      <c r="C14" s="67">
        <v>161.1</v>
      </c>
      <c r="D14" s="67">
        <v>252.4</v>
      </c>
      <c r="E14" s="67">
        <v>169.1</v>
      </c>
      <c r="F14" s="67">
        <v>166.4</v>
      </c>
      <c r="G14" s="67">
        <v>165.9</v>
      </c>
      <c r="H14" s="67">
        <f>'3. Key Metrics'!AR17</f>
        <v>163.5</v>
      </c>
      <c r="I14" s="67">
        <f>'3. Key Metrics'!AS17</f>
        <v>214.4</v>
      </c>
      <c r="J14" s="67">
        <f>'3. Key Metrics'!AT17</f>
        <v>163.19999999999999</v>
      </c>
      <c r="K14" s="67">
        <f>'3. Key Metrics'!AU17</f>
        <v>180.50000000000003</v>
      </c>
      <c r="L14" s="67">
        <f>'3. Key Metrics'!AV17</f>
        <v>210.5</v>
      </c>
      <c r="M14" s="81"/>
      <c r="N14" s="121"/>
      <c r="O14" s="121"/>
    </row>
    <row r="15" spans="1:35">
      <c r="A15" s="72" t="s">
        <v>91</v>
      </c>
      <c r="B15" s="67"/>
      <c r="C15" s="67">
        <v>69.5</v>
      </c>
      <c r="D15" s="67">
        <v>80.3</v>
      </c>
      <c r="E15" s="67">
        <v>96.1</v>
      </c>
      <c r="F15" s="67">
        <v>116.19999999999999</v>
      </c>
      <c r="G15" s="67">
        <v>137.80000000000001</v>
      </c>
      <c r="H15" s="67">
        <f>'3. Key Metrics'!AR18</f>
        <v>141.9</v>
      </c>
      <c r="I15" s="67">
        <f>'3. Key Metrics'!AS18</f>
        <v>170</v>
      </c>
      <c r="J15" s="67">
        <f>'3. Key Metrics'!AT18</f>
        <v>192.60000000000002</v>
      </c>
      <c r="K15" s="67">
        <f>'3. Key Metrics'!AU18</f>
        <v>233.4</v>
      </c>
      <c r="L15" s="67">
        <f>'3. Key Metrics'!AV18</f>
        <v>247.3</v>
      </c>
      <c r="M15" s="81"/>
      <c r="N15" s="121"/>
      <c r="O15" s="121"/>
    </row>
    <row r="16" spans="1:35">
      <c r="A16" s="72" t="s">
        <v>15</v>
      </c>
      <c r="B16" s="83"/>
      <c r="C16" s="83">
        <v>-0.1</v>
      </c>
      <c r="D16" s="83">
        <v>6</v>
      </c>
      <c r="E16" s="67">
        <v>1.9000000000000001</v>
      </c>
      <c r="F16" s="67">
        <v>5.3</v>
      </c>
      <c r="G16" s="67">
        <v>3.2</v>
      </c>
      <c r="H16" s="67">
        <f>'3. Key Metrics'!AR19</f>
        <v>2.2000000000000002</v>
      </c>
      <c r="I16" s="67">
        <f>'3. Key Metrics'!AS19</f>
        <v>1.8999999999999997</v>
      </c>
      <c r="J16" s="67">
        <f>'3. Key Metrics'!AT19</f>
        <v>-4.4000000000000004</v>
      </c>
      <c r="K16" s="67">
        <f>'3. Key Metrics'!AU19</f>
        <v>-0.8</v>
      </c>
      <c r="L16" s="67">
        <f>'3. Key Metrics'!AV19</f>
        <v>1</v>
      </c>
      <c r="M16" s="81"/>
      <c r="N16" s="121"/>
      <c r="O16" s="121"/>
    </row>
    <row r="17" spans="1:31" s="104" customFormat="1" ht="14" thickBot="1">
      <c r="A17" s="72" t="s">
        <v>87</v>
      </c>
      <c r="B17" s="128"/>
      <c r="C17" s="127">
        <f t="shared" ref="C17:E17" si="0">SUM(C13:C16)</f>
        <v>1124.8</v>
      </c>
      <c r="D17" s="127">
        <f t="shared" si="0"/>
        <v>1249.5999999999999</v>
      </c>
      <c r="E17" s="127">
        <f t="shared" si="0"/>
        <v>1397.8999999999999</v>
      </c>
      <c r="F17" s="127">
        <f>SUM(F13:F16)</f>
        <v>1675.1999999999998</v>
      </c>
      <c r="G17" s="127">
        <f>SUM(G13:G16)</f>
        <v>1914.2000000000003</v>
      </c>
      <c r="H17" s="127">
        <f>SUM(H13:H16)</f>
        <v>2155.5</v>
      </c>
      <c r="I17" s="127">
        <f>SUM(I13:I16)</f>
        <v>2618.1999999999998</v>
      </c>
      <c r="J17" s="127">
        <f>SUM(J13:J16)</f>
        <v>3011.5</v>
      </c>
      <c r="K17" s="127">
        <f>'3. Key Metrics'!AU20</f>
        <v>3401.2</v>
      </c>
      <c r="L17" s="127">
        <f>SUM(L13:L16)</f>
        <v>3775.5000000000005</v>
      </c>
      <c r="M17" s="136"/>
      <c r="N17" s="138"/>
      <c r="O17" s="138"/>
      <c r="P17" s="137"/>
      <c r="Q17" s="137"/>
      <c r="R17" s="137"/>
      <c r="S17" s="137"/>
      <c r="T17" s="137"/>
      <c r="U17" s="137"/>
      <c r="V17" s="137"/>
      <c r="W17" s="137"/>
      <c r="X17" s="137"/>
      <c r="Y17" s="137"/>
      <c r="Z17" s="137"/>
      <c r="AA17" s="137"/>
      <c r="AB17" s="137"/>
      <c r="AC17" s="137"/>
      <c r="AD17" s="137"/>
    </row>
    <row r="18" spans="1:31" ht="22.5" customHeight="1" thickTop="1">
      <c r="B18" s="83"/>
      <c r="C18" s="83"/>
      <c r="D18" s="87"/>
      <c r="E18" s="67"/>
      <c r="F18" s="67"/>
      <c r="G18" s="67"/>
      <c r="H18" s="67"/>
      <c r="I18" s="67"/>
      <c r="J18" s="67"/>
      <c r="K18" s="67"/>
      <c r="L18" s="67"/>
      <c r="M18" s="81"/>
      <c r="N18" s="121"/>
      <c r="O18" s="121"/>
    </row>
    <row r="19" spans="1:31">
      <c r="A19" s="104" t="s">
        <v>128</v>
      </c>
    </row>
    <row r="20" spans="1:31">
      <c r="A20" s="72" t="s">
        <v>74</v>
      </c>
      <c r="C20" s="93">
        <v>113.4</v>
      </c>
      <c r="D20" s="93">
        <v>106.1</v>
      </c>
      <c r="E20" s="93">
        <v>153.30000000000001</v>
      </c>
      <c r="F20" s="93">
        <v>180.6</v>
      </c>
      <c r="G20" s="93">
        <v>259.2</v>
      </c>
      <c r="H20" s="93">
        <f>'3. Key Metrics'!AR23</f>
        <v>386.49999999999983</v>
      </c>
      <c r="I20" s="93">
        <f>'3. Key Metrics'!AS23</f>
        <v>475.59999999999997</v>
      </c>
      <c r="J20" s="93">
        <f>'3. Key Metrics'!AT23</f>
        <v>559.79999999999995</v>
      </c>
      <c r="K20" s="93">
        <f>'3. Key Metrics'!AU23</f>
        <v>723.40000000000009</v>
      </c>
      <c r="L20" s="93">
        <f>'3. Key Metrics'!AV23</f>
        <v>764.6</v>
      </c>
    </row>
    <row r="21" spans="1:31">
      <c r="A21" s="72" t="s">
        <v>166</v>
      </c>
      <c r="C21" s="185">
        <v>0</v>
      </c>
      <c r="D21" s="185">
        <v>0</v>
      </c>
      <c r="E21" s="185">
        <v>0</v>
      </c>
      <c r="F21" s="185">
        <v>0</v>
      </c>
      <c r="G21" s="185">
        <v>0</v>
      </c>
      <c r="H21" s="185">
        <v>0</v>
      </c>
      <c r="I21" s="67">
        <f>'3. Key Metrics'!AS24</f>
        <v>-3.5</v>
      </c>
      <c r="J21" s="67">
        <f>'3. Key Metrics'!AT24</f>
        <v>23.799999999999997</v>
      </c>
      <c r="K21" s="67">
        <f>'3. Key Metrics'!AU24</f>
        <v>0</v>
      </c>
      <c r="L21" s="67">
        <f>'3. Key Metrics'!AV24</f>
        <v>0</v>
      </c>
    </row>
    <row r="22" spans="1:31">
      <c r="A22" s="72" t="s">
        <v>129</v>
      </c>
      <c r="C22" s="83">
        <v>5</v>
      </c>
      <c r="D22" s="83">
        <v>71.2</v>
      </c>
      <c r="E22" s="83">
        <v>61.8</v>
      </c>
      <c r="F22" s="83">
        <v>75.400000000000006</v>
      </c>
      <c r="G22" s="83">
        <v>59.1</v>
      </c>
      <c r="H22" s="83">
        <f>'3. Key Metrics'!AR25</f>
        <v>46.5</v>
      </c>
      <c r="I22" s="83">
        <f>'3. Key Metrics'!AS25</f>
        <v>80.800000000000011</v>
      </c>
      <c r="J22" s="67">
        <f>'3. Key Metrics'!AT25</f>
        <v>84.1</v>
      </c>
      <c r="K22" s="67">
        <f>'3. Key Metrics'!AU25</f>
        <v>80.3</v>
      </c>
      <c r="L22" s="67">
        <f>'3. Key Metrics'!AV25</f>
        <v>80.5</v>
      </c>
    </row>
    <row r="23" spans="1:31">
      <c r="A23" s="72" t="s">
        <v>132</v>
      </c>
      <c r="C23" s="83">
        <v>0</v>
      </c>
      <c r="D23" s="83">
        <v>0</v>
      </c>
      <c r="E23" s="83">
        <v>0</v>
      </c>
      <c r="F23" s="83">
        <v>0</v>
      </c>
      <c r="G23" s="83">
        <v>-0.3</v>
      </c>
      <c r="H23" s="83">
        <f>'3. Key Metrics'!AR26</f>
        <v>-18.3</v>
      </c>
      <c r="I23" s="83">
        <f>'3. Key Metrics'!AS26</f>
        <v>-10</v>
      </c>
      <c r="J23" s="67">
        <f>'3. Key Metrics'!AT26</f>
        <v>0</v>
      </c>
      <c r="K23" s="67">
        <f>'3. Key Metrics'!AU26</f>
        <v>0</v>
      </c>
      <c r="L23" s="67">
        <f>'3. Key Metrics'!AV26</f>
        <v>0</v>
      </c>
    </row>
    <row r="24" spans="1:31">
      <c r="A24" s="72" t="s">
        <v>130</v>
      </c>
      <c r="C24" s="83">
        <v>50.7</v>
      </c>
      <c r="D24" s="83">
        <v>4.4000000000000004</v>
      </c>
      <c r="E24" s="83">
        <v>13</v>
      </c>
      <c r="F24" s="83">
        <v>3.2</v>
      </c>
      <c r="G24" s="83">
        <f>31.7+0.2</f>
        <v>31.9</v>
      </c>
      <c r="H24" s="83">
        <f>'3. Key Metrics'!AR27</f>
        <v>3.5</v>
      </c>
      <c r="I24" s="83">
        <f>'3. Key Metrics'!AS27</f>
        <v>35.799999999999997</v>
      </c>
      <c r="J24" s="67">
        <f>'3. Key Metrics'!AT27</f>
        <v>32.200000000000003</v>
      </c>
      <c r="K24" s="67">
        <f>'3. Key Metrics'!AU27</f>
        <v>19.5</v>
      </c>
      <c r="L24" s="67">
        <f>'3. Key Metrics'!AV27</f>
        <v>27.4</v>
      </c>
    </row>
    <row r="25" spans="1:31">
      <c r="A25" s="72" t="s">
        <v>131</v>
      </c>
      <c r="C25" s="83">
        <v>-73.599999999999994</v>
      </c>
      <c r="D25" s="83">
        <v>-44.2</v>
      </c>
      <c r="E25" s="83">
        <v>-52.1</v>
      </c>
      <c r="F25" s="83">
        <v>-67.900000000000006</v>
      </c>
      <c r="G25" s="83">
        <v>-55.8</v>
      </c>
      <c r="H25" s="83">
        <f>'3. Key Metrics'!AR28</f>
        <v>-61.5</v>
      </c>
      <c r="I25" s="83">
        <f>'3. Key Metrics'!AS28</f>
        <v>-83.2</v>
      </c>
      <c r="J25" s="67">
        <f>'3. Key Metrics'!AT28</f>
        <v>-87.700000000000017</v>
      </c>
      <c r="K25" s="67">
        <f>'3. Key Metrics'!AU28</f>
        <v>-87.6</v>
      </c>
      <c r="L25" s="67">
        <f>'3. Key Metrics'!AV28</f>
        <v>-66.5</v>
      </c>
    </row>
    <row r="26" spans="1:31">
      <c r="A26" s="72" t="str">
        <f>'3. Key Metrics'!A29</f>
        <v>Cash paid for indirect taxes</v>
      </c>
      <c r="C26" s="83"/>
      <c r="D26" s="83"/>
      <c r="E26" s="83"/>
      <c r="F26" s="83"/>
      <c r="G26" s="83"/>
      <c r="H26" s="83"/>
      <c r="I26" s="83"/>
      <c r="J26" s="67">
        <f>'3. Key Metrics'!AT29</f>
        <v>7.3</v>
      </c>
      <c r="K26" s="67">
        <f>'3. Key Metrics'!AU29</f>
        <v>0</v>
      </c>
      <c r="L26" s="67">
        <f>'3. Key Metrics'!AV29</f>
        <v>0</v>
      </c>
    </row>
    <row r="27" spans="1:31">
      <c r="C27" s="83"/>
      <c r="D27" s="83"/>
      <c r="E27" s="83"/>
      <c r="F27" s="83"/>
      <c r="G27" s="83"/>
      <c r="H27" s="83"/>
      <c r="I27" s="83"/>
      <c r="J27" s="67"/>
      <c r="K27" s="67"/>
      <c r="L27" s="67">
        <f>'3. Key Metrics'!AV30</f>
        <v>19.400000000000002</v>
      </c>
    </row>
    <row r="28" spans="1:31" s="104" customFormat="1" ht="14" thickBot="1">
      <c r="A28" s="72" t="s">
        <v>133</v>
      </c>
      <c r="B28" s="127">
        <f t="shared" ref="B28:I28" si="1">SUM(B20:B26)</f>
        <v>0</v>
      </c>
      <c r="C28" s="127">
        <f t="shared" si="1"/>
        <v>95.500000000000028</v>
      </c>
      <c r="D28" s="127">
        <f t="shared" si="1"/>
        <v>137.5</v>
      </c>
      <c r="E28" s="127">
        <f t="shared" si="1"/>
        <v>176.00000000000003</v>
      </c>
      <c r="F28" s="127">
        <f t="shared" si="1"/>
        <v>191.29999999999998</v>
      </c>
      <c r="G28" s="127">
        <f t="shared" si="1"/>
        <v>294.09999999999997</v>
      </c>
      <c r="H28" s="127">
        <f t="shared" si="1"/>
        <v>356.69999999999982</v>
      </c>
      <c r="I28" s="127">
        <f t="shared" si="1"/>
        <v>495.49999999999994</v>
      </c>
      <c r="J28" s="127">
        <f>SUM(J20:J26)</f>
        <v>619.49999999999989</v>
      </c>
      <c r="K28" s="127">
        <f>'3. Key Metrics'!AU31</f>
        <v>735.6</v>
      </c>
      <c r="L28" s="127">
        <f>SUM(L20:L27)</f>
        <v>825.4</v>
      </c>
      <c r="M28" s="137"/>
      <c r="N28" s="137"/>
      <c r="O28" s="137"/>
      <c r="P28" s="137"/>
      <c r="Q28" s="137"/>
      <c r="R28" s="137"/>
      <c r="S28" s="137"/>
      <c r="T28" s="137"/>
      <c r="U28" s="137"/>
      <c r="V28" s="137"/>
      <c r="W28" s="137"/>
      <c r="X28" s="137"/>
      <c r="Y28" s="137"/>
      <c r="Z28" s="137"/>
      <c r="AA28" s="137"/>
      <c r="AB28" s="137"/>
      <c r="AC28" s="137"/>
      <c r="AD28" s="137"/>
    </row>
    <row r="29" spans="1:31" ht="12.75" customHeight="1" thickTop="1">
      <c r="M29" s="229"/>
      <c r="N29" s="229"/>
      <c r="O29" s="229"/>
      <c r="P29" s="229"/>
      <c r="Q29" s="229"/>
      <c r="R29" s="229"/>
      <c r="S29" s="229"/>
      <c r="T29" s="229"/>
      <c r="U29" s="229"/>
      <c r="V29" s="229"/>
      <c r="W29" s="229"/>
      <c r="X29" s="229"/>
      <c r="Y29" s="229"/>
      <c r="Z29" s="229"/>
      <c r="AA29" s="229"/>
      <c r="AB29" s="229"/>
      <c r="AC29" s="229"/>
      <c r="AD29" s="229"/>
      <c r="AE29" s="229"/>
    </row>
    <row r="30" spans="1:31" s="82" customFormat="1">
      <c r="A30" s="104" t="s">
        <v>210</v>
      </c>
    </row>
    <row r="31" spans="1:31" s="82" customFormat="1">
      <c r="A31" s="72" t="s">
        <v>143</v>
      </c>
      <c r="C31" s="94"/>
      <c r="D31" s="94"/>
      <c r="E31" s="94"/>
      <c r="F31" s="94"/>
      <c r="G31" s="94"/>
      <c r="H31" s="94"/>
      <c r="I31" s="94"/>
      <c r="J31" s="83">
        <v>82</v>
      </c>
      <c r="K31" s="83">
        <v>138.4</v>
      </c>
      <c r="L31" s="83">
        <v>-494.09999999999997</v>
      </c>
      <c r="M31" s="94"/>
      <c r="N31" s="94"/>
      <c r="O31" s="94"/>
      <c r="P31" s="94"/>
      <c r="Q31" s="94"/>
      <c r="R31" s="94"/>
      <c r="S31" s="94"/>
      <c r="T31" s="94"/>
      <c r="U31" s="94"/>
      <c r="V31" s="94"/>
    </row>
    <row r="32" spans="1:31" s="82" customFormat="1">
      <c r="A32" s="72" t="s">
        <v>211</v>
      </c>
      <c r="C32" s="81"/>
      <c r="D32" s="81"/>
      <c r="E32" s="81"/>
      <c r="F32" s="81"/>
      <c r="G32" s="81"/>
      <c r="H32" s="81"/>
      <c r="I32" s="81"/>
      <c r="J32" s="83">
        <v>85.8</v>
      </c>
      <c r="K32" s="83">
        <v>69.900000000000006</v>
      </c>
      <c r="L32" s="83">
        <v>86.9</v>
      </c>
      <c r="M32" s="81"/>
      <c r="N32" s="81"/>
      <c r="O32" s="81"/>
      <c r="P32" s="81"/>
      <c r="Q32" s="81"/>
      <c r="R32" s="81"/>
      <c r="S32" s="81"/>
      <c r="T32" s="81"/>
      <c r="U32" s="81"/>
      <c r="V32" s="81"/>
    </row>
    <row r="33" spans="1:26" s="82" customFormat="1">
      <c r="A33" s="72" t="s">
        <v>212</v>
      </c>
      <c r="C33" s="83"/>
      <c r="D33" s="83"/>
      <c r="E33" s="83"/>
      <c r="F33" s="83"/>
      <c r="G33" s="83"/>
      <c r="H33" s="83"/>
      <c r="I33" s="83"/>
      <c r="J33" s="83">
        <v>-23.9</v>
      </c>
      <c r="K33" s="83">
        <v>-20.7</v>
      </c>
      <c r="L33" s="83">
        <v>673.40000000000009</v>
      </c>
      <c r="M33" s="83"/>
      <c r="N33" s="83"/>
      <c r="O33" s="83"/>
      <c r="P33" s="83"/>
      <c r="Q33" s="83"/>
      <c r="R33" s="83"/>
      <c r="S33" s="83"/>
      <c r="T33" s="83"/>
      <c r="U33" s="83"/>
      <c r="V33" s="83"/>
    </row>
    <row r="34" spans="1:26" s="82" customFormat="1">
      <c r="A34" s="72" t="s">
        <v>18</v>
      </c>
      <c r="C34" s="83"/>
      <c r="D34" s="83"/>
      <c r="E34" s="83"/>
      <c r="F34" s="83"/>
      <c r="G34" s="83"/>
      <c r="H34" s="83"/>
      <c r="I34" s="83"/>
      <c r="J34" s="83">
        <v>234.1</v>
      </c>
      <c r="K34" s="83">
        <v>209.7</v>
      </c>
      <c r="L34" s="83">
        <v>202.70000000000002</v>
      </c>
      <c r="M34" s="83"/>
      <c r="N34" s="83"/>
      <c r="O34" s="83"/>
      <c r="P34" s="83"/>
      <c r="Q34" s="83"/>
      <c r="R34" s="83"/>
      <c r="S34" s="83"/>
      <c r="T34" s="83"/>
      <c r="U34" s="83"/>
      <c r="V34" s="83"/>
    </row>
    <row r="35" spans="1:26" s="82" customFormat="1" ht="17">
      <c r="A35" s="72" t="s">
        <v>216</v>
      </c>
      <c r="C35" s="94"/>
      <c r="D35" s="94"/>
      <c r="E35" s="94"/>
      <c r="F35" s="94"/>
      <c r="G35" s="94"/>
      <c r="H35" s="94"/>
      <c r="I35" s="94"/>
      <c r="J35" s="83">
        <v>125.5</v>
      </c>
      <c r="K35" s="83">
        <v>147</v>
      </c>
      <c r="L35" s="83">
        <v>191.5</v>
      </c>
      <c r="M35" s="94"/>
      <c r="N35" s="94"/>
      <c r="O35" s="94"/>
      <c r="P35" s="94"/>
      <c r="Q35" s="94"/>
      <c r="R35" s="94"/>
      <c r="S35" s="94"/>
      <c r="T35" s="94"/>
      <c r="U35" s="94"/>
      <c r="V35" s="94"/>
    </row>
    <row r="36" spans="1:26" s="82" customFormat="1">
      <c r="A36" s="72" t="s">
        <v>213</v>
      </c>
      <c r="J36" s="83">
        <v>32.700000000000003</v>
      </c>
      <c r="K36" s="83">
        <v>9.4</v>
      </c>
      <c r="L36" s="83">
        <v>25</v>
      </c>
    </row>
    <row r="37" spans="1:26" s="82" customFormat="1">
      <c r="A37" s="72" t="s">
        <v>220</v>
      </c>
      <c r="J37" s="83">
        <v>0</v>
      </c>
      <c r="K37" s="83">
        <v>0</v>
      </c>
      <c r="L37" s="83">
        <v>46.8</v>
      </c>
    </row>
    <row r="38" spans="1:26" s="82" customFormat="1">
      <c r="A38" s="72" t="s">
        <v>214</v>
      </c>
      <c r="C38" s="81"/>
      <c r="D38" s="81"/>
      <c r="E38" s="81"/>
      <c r="F38" s="81"/>
      <c r="G38" s="81"/>
      <c r="H38" s="83"/>
      <c r="I38" s="83"/>
      <c r="J38" s="83">
        <v>0</v>
      </c>
      <c r="K38" s="83">
        <v>18.100000000000001</v>
      </c>
      <c r="L38" s="83">
        <v>-10</v>
      </c>
      <c r="M38" s="81"/>
      <c r="N38" s="81"/>
      <c r="O38" s="81"/>
      <c r="P38" s="81"/>
      <c r="Q38" s="81"/>
      <c r="R38" s="81"/>
      <c r="S38" s="81"/>
      <c r="T38" s="81"/>
      <c r="U38" s="81"/>
      <c r="V38" s="81"/>
    </row>
    <row r="39" spans="1:26" s="82" customFormat="1">
      <c r="A39" s="72" t="s">
        <v>215</v>
      </c>
      <c r="C39" s="83"/>
      <c r="D39" s="83"/>
      <c r="E39" s="83"/>
      <c r="F39" s="83"/>
      <c r="G39" s="83"/>
      <c r="H39" s="83"/>
      <c r="I39" s="83"/>
      <c r="J39" s="83">
        <v>0</v>
      </c>
      <c r="K39" s="83">
        <v>14.8</v>
      </c>
      <c r="L39" s="83">
        <v>0</v>
      </c>
      <c r="M39" s="83"/>
      <c r="N39" s="83"/>
      <c r="O39" s="83"/>
      <c r="P39" s="83"/>
      <c r="Q39" s="83"/>
      <c r="R39" s="83"/>
      <c r="S39" s="83"/>
      <c r="T39" s="83"/>
      <c r="U39" s="83"/>
      <c r="V39" s="83"/>
      <c r="X39" s="81"/>
      <c r="Y39" s="121"/>
      <c r="Z39" s="121"/>
    </row>
    <row r="40" spans="1:26" s="137" customFormat="1" ht="14" thickBot="1">
      <c r="A40" s="72" t="s">
        <v>210</v>
      </c>
      <c r="C40" s="128"/>
      <c r="D40" s="128"/>
      <c r="E40" s="128"/>
      <c r="F40" s="128"/>
      <c r="G40" s="128"/>
      <c r="H40" s="128"/>
      <c r="I40" s="128"/>
      <c r="J40" s="127">
        <v>536.20000000000005</v>
      </c>
      <c r="K40" s="127">
        <v>586.6</v>
      </c>
      <c r="L40" s="127">
        <f>SUM(L31:L39)</f>
        <v>722.20000000000016</v>
      </c>
      <c r="M40" s="128"/>
      <c r="N40" s="128"/>
      <c r="O40" s="128"/>
      <c r="P40" s="128"/>
      <c r="Q40" s="128"/>
      <c r="R40" s="128"/>
      <c r="S40" s="128"/>
      <c r="T40" s="128"/>
      <c r="U40" s="128"/>
      <c r="V40" s="128"/>
    </row>
    <row r="41" spans="1:26" ht="14" thickTop="1"/>
    <row r="42" spans="1:26" s="82" customFormat="1"/>
    <row r="43" spans="1:26" s="82" customFormat="1">
      <c r="C43" s="94"/>
      <c r="D43" s="94"/>
      <c r="E43" s="94"/>
      <c r="F43" s="94"/>
      <c r="G43" s="94"/>
      <c r="H43" s="94"/>
      <c r="I43" s="94"/>
      <c r="J43" s="94"/>
      <c r="K43" s="94"/>
      <c r="L43" s="94"/>
    </row>
    <row r="44" spans="1:26" s="82" customFormat="1">
      <c r="C44" s="83"/>
      <c r="D44" s="83"/>
      <c r="E44" s="83"/>
      <c r="F44" s="83"/>
      <c r="G44" s="83"/>
      <c r="H44" s="83"/>
      <c r="I44" s="83"/>
      <c r="J44" s="83"/>
      <c r="K44" s="83"/>
      <c r="L44" s="199"/>
    </row>
    <row r="45" spans="1:26" s="82" customFormat="1">
      <c r="C45" s="94"/>
      <c r="D45" s="94"/>
      <c r="E45" s="94"/>
      <c r="F45" s="94"/>
      <c r="G45" s="94"/>
      <c r="H45" s="94"/>
      <c r="I45" s="94"/>
      <c r="J45" s="94"/>
      <c r="K45" s="94"/>
      <c r="L45" s="94"/>
    </row>
  </sheetData>
  <mergeCells count="7">
    <mergeCell ref="C2:L2"/>
    <mergeCell ref="C3:L3"/>
    <mergeCell ref="C4:L4"/>
    <mergeCell ref="M29:AE29"/>
    <mergeCell ref="B9:G9"/>
    <mergeCell ref="C6:L6"/>
    <mergeCell ref="C7:L7"/>
  </mergeCells>
  <pageMargins left="0.7" right="0.7" top="0.75" bottom="0.75" header="0.3" footer="0.3"/>
  <pageSetup scale="52"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X18"/>
  <sheetViews>
    <sheetView zoomScaleNormal="100" workbookViewId="0"/>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3" width="11.3984375" style="72" hidden="1" customWidth="1" outlineLevel="1"/>
    <col min="14" max="16" width="11.59765625" style="72" hidden="1" customWidth="1" outlineLevel="1"/>
    <col min="17" max="17" width="1.59765625" style="72" customWidth="1" collapsed="1"/>
    <col min="18" max="21" width="11.796875" style="72" hidden="1" customWidth="1" outlineLevel="1"/>
    <col min="22" max="22" width="1.3984375" style="72" customWidth="1" collapsed="1"/>
    <col min="23" max="26" width="11.796875" style="72" hidden="1" customWidth="1" outlineLevel="1"/>
    <col min="27" max="27" width="1.3984375" style="72" customWidth="1" collapsed="1"/>
    <col min="28" max="31" width="11.796875" style="72" hidden="1" customWidth="1" outlineLevel="1"/>
    <col min="32" max="32" width="1.796875" style="72" customWidth="1" collapsed="1"/>
    <col min="33" max="36" width="11.796875" style="72" customWidth="1"/>
    <col min="37" max="37" width="1.59765625" style="72" customWidth="1"/>
    <col min="38" max="39" width="11.796875" style="72" customWidth="1"/>
    <col min="40" max="40" width="1.59765625" style="72" customWidth="1"/>
    <col min="41" max="43" width="11.59765625" style="72" hidden="1" customWidth="1" outlineLevel="1"/>
    <col min="44" max="44" width="11.796875" style="72" hidden="1" customWidth="1" outlineLevel="1"/>
    <col min="45" max="46" width="11.796875" style="72" hidden="1" customWidth="1" outlineLevel="1" collapsed="1"/>
    <col min="47" max="47" width="11.796875" style="72" customWidth="1" collapsed="1"/>
    <col min="48" max="48" width="11.796875" style="72" customWidth="1"/>
    <col min="49" max="16384" width="9" style="72"/>
  </cols>
  <sheetData>
    <row r="2" spans="1:50" ht="18">
      <c r="C2" s="225" t="s">
        <v>98</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76"/>
      <c r="AL2" s="76"/>
      <c r="AM2" s="76"/>
      <c r="AN2" s="76"/>
      <c r="AO2" s="76"/>
      <c r="AP2" s="76"/>
      <c r="AQ2" s="76"/>
      <c r="AR2" s="76"/>
      <c r="AS2" s="76"/>
      <c r="AT2" s="76"/>
      <c r="AU2" s="76"/>
      <c r="AV2" s="76"/>
    </row>
    <row r="3" spans="1:50" ht="18">
      <c r="C3" s="225" t="s">
        <v>103</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68"/>
      <c r="AL3" s="68"/>
      <c r="AM3" s="68"/>
      <c r="AN3" s="68"/>
      <c r="AO3" s="68"/>
      <c r="AP3" s="68"/>
      <c r="AQ3" s="68"/>
      <c r="AR3" s="68"/>
      <c r="AS3" s="68"/>
      <c r="AT3" s="68"/>
      <c r="AU3" s="68"/>
      <c r="AV3" s="68"/>
      <c r="AW3" s="70"/>
    </row>
    <row r="4" spans="1:50" ht="12.75" customHeight="1">
      <c r="C4" s="227" t="s">
        <v>109</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76"/>
      <c r="AL4" s="76"/>
      <c r="AM4" s="76"/>
      <c r="AN4" s="76"/>
      <c r="AO4" s="76"/>
      <c r="AP4" s="76"/>
      <c r="AQ4" s="76"/>
      <c r="AR4" s="76"/>
      <c r="AS4" s="76"/>
      <c r="AT4" s="76"/>
      <c r="AU4" s="76"/>
      <c r="AV4" s="76"/>
      <c r="AW4" s="66"/>
    </row>
    <row r="6" spans="1:50">
      <c r="C6" s="221" t="s">
        <v>106</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3"/>
      <c r="AO6" s="221" t="s">
        <v>107</v>
      </c>
      <c r="AP6" s="222"/>
      <c r="AQ6" s="222"/>
      <c r="AR6" s="222"/>
      <c r="AS6" s="222"/>
      <c r="AT6" s="222"/>
      <c r="AU6" s="222"/>
      <c r="AV6" s="223"/>
    </row>
    <row r="7" spans="1:50" ht="13" customHeight="1">
      <c r="C7" s="224" t="s">
        <v>113</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90"/>
      <c r="AO7" s="224" t="s">
        <v>114</v>
      </c>
      <c r="AP7" s="224"/>
      <c r="AQ7" s="224"/>
      <c r="AR7" s="224"/>
      <c r="AS7" s="224"/>
      <c r="AT7" s="224"/>
      <c r="AU7" s="224"/>
      <c r="AV7" s="224"/>
    </row>
    <row r="8" spans="1:50">
      <c r="C8" s="91" t="s">
        <v>20</v>
      </c>
      <c r="D8" s="91" t="s">
        <v>21</v>
      </c>
      <c r="E8" s="91" t="s">
        <v>22</v>
      </c>
      <c r="F8" s="91" t="s">
        <v>23</v>
      </c>
      <c r="G8" s="114"/>
      <c r="H8" s="91" t="s">
        <v>25</v>
      </c>
      <c r="I8" s="91" t="s">
        <v>26</v>
      </c>
      <c r="J8" s="91" t="s">
        <v>50</v>
      </c>
      <c r="K8" s="91" t="s">
        <v>105</v>
      </c>
      <c r="L8" s="114"/>
      <c r="M8" s="91" t="s">
        <v>134</v>
      </c>
      <c r="N8" s="91" t="s">
        <v>138</v>
      </c>
      <c r="O8" s="91" t="s">
        <v>140</v>
      </c>
      <c r="P8" s="91" t="s">
        <v>148</v>
      </c>
      <c r="Q8" s="114"/>
      <c r="R8" s="91" t="s">
        <v>156</v>
      </c>
      <c r="S8" s="91" t="s">
        <v>158</v>
      </c>
      <c r="T8" s="91" t="s">
        <v>176</v>
      </c>
      <c r="U8" s="91" t="s">
        <v>179</v>
      </c>
      <c r="V8" s="114"/>
      <c r="W8" s="91" t="s">
        <v>183</v>
      </c>
      <c r="X8" s="91" t="s">
        <v>192</v>
      </c>
      <c r="Y8" s="91" t="s">
        <v>193</v>
      </c>
      <c r="Z8" s="91" t="s">
        <v>195</v>
      </c>
      <c r="AA8" s="114"/>
      <c r="AB8" s="91" t="s">
        <v>201</v>
      </c>
      <c r="AC8" s="91" t="s">
        <v>204</v>
      </c>
      <c r="AD8" s="91" t="s">
        <v>206</v>
      </c>
      <c r="AE8" s="91" t="s">
        <v>209</v>
      </c>
      <c r="AF8" s="114"/>
      <c r="AG8" s="91" t="s">
        <v>217</v>
      </c>
      <c r="AH8" s="91" t="s">
        <v>219</v>
      </c>
      <c r="AI8" s="91" t="s">
        <v>222</v>
      </c>
      <c r="AJ8" s="91" t="s">
        <v>225</v>
      </c>
      <c r="AK8" s="71"/>
      <c r="AL8" s="91" t="s">
        <v>227</v>
      </c>
      <c r="AM8" s="91" t="s">
        <v>230</v>
      </c>
      <c r="AN8" s="206"/>
      <c r="AO8" s="91" t="s">
        <v>19</v>
      </c>
      <c r="AP8" s="91" t="s">
        <v>24</v>
      </c>
      <c r="AQ8" s="91" t="s">
        <v>108</v>
      </c>
      <c r="AR8" s="91" t="s">
        <v>149</v>
      </c>
      <c r="AS8" s="91" t="s">
        <v>180</v>
      </c>
      <c r="AT8" s="91" t="s">
        <v>196</v>
      </c>
      <c r="AU8" s="91" t="s">
        <v>208</v>
      </c>
      <c r="AV8" s="91" t="s">
        <v>224</v>
      </c>
    </row>
    <row r="9" spans="1:50">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row>
    <row r="10" spans="1:50">
      <c r="A10" s="72" t="s">
        <v>92</v>
      </c>
      <c r="C10" s="98">
        <v>241.5</v>
      </c>
      <c r="D10" s="98">
        <v>253.7</v>
      </c>
      <c r="E10" s="98">
        <v>266.5</v>
      </c>
      <c r="F10" s="98">
        <v>277.10000000000002</v>
      </c>
      <c r="G10" s="99"/>
      <c r="H10" s="98">
        <v>279.7</v>
      </c>
      <c r="I10" s="98">
        <v>293.39999999999998</v>
      </c>
      <c r="J10" s="98">
        <v>304.7</v>
      </c>
      <c r="K10" s="98">
        <v>314.89999999999998</v>
      </c>
      <c r="L10" s="98"/>
      <c r="M10" s="98">
        <v>318.89999999999998</v>
      </c>
      <c r="N10" s="98">
        <v>336.4</v>
      </c>
      <c r="O10" s="98">
        <v>340.9</v>
      </c>
      <c r="P10" s="98">
        <v>353.9</v>
      </c>
      <c r="Q10" s="98"/>
      <c r="R10" s="98">
        <v>355.4</v>
      </c>
      <c r="S10" s="98">
        <v>370.1</v>
      </c>
      <c r="T10" s="98">
        <v>384.1</v>
      </c>
      <c r="U10" s="98">
        <v>394.9</v>
      </c>
      <c r="V10" s="98"/>
      <c r="W10" s="98">
        <v>406.6</v>
      </c>
      <c r="X10" s="98">
        <v>418.3</v>
      </c>
      <c r="Y10" s="98">
        <v>443.5</v>
      </c>
      <c r="Z10" s="98">
        <v>455.5</v>
      </c>
      <c r="AA10" s="98"/>
      <c r="AB10" s="98">
        <v>464.9</v>
      </c>
      <c r="AC10" s="98">
        <v>489.5</v>
      </c>
      <c r="AD10" s="98">
        <v>506.2</v>
      </c>
      <c r="AE10" s="98">
        <v>519</v>
      </c>
      <c r="AF10" s="98"/>
      <c r="AG10" s="98">
        <v>529.6</v>
      </c>
      <c r="AH10" s="98">
        <v>540.29999999999995</v>
      </c>
      <c r="AI10" s="98">
        <v>560.70000000000005</v>
      </c>
      <c r="AJ10" s="98">
        <v>580.70000000000005</v>
      </c>
      <c r="AK10" s="99"/>
      <c r="AL10" s="98">
        <v>598</v>
      </c>
      <c r="AM10" s="98">
        <v>614.1</v>
      </c>
      <c r="AN10" s="99"/>
      <c r="AO10" s="98">
        <v>862.8</v>
      </c>
      <c r="AP10" s="98">
        <v>1038.8</v>
      </c>
      <c r="AQ10" s="98">
        <v>1192.5999999999999</v>
      </c>
      <c r="AR10" s="98">
        <f>SUM(M10:P10)</f>
        <v>1350.1</v>
      </c>
      <c r="AS10" s="98">
        <f>SUM(R10:U10)</f>
        <v>1504.5</v>
      </c>
      <c r="AT10" s="98">
        <f>SUM(W10:Z10)</f>
        <v>1723.9</v>
      </c>
      <c r="AU10" s="98">
        <f>SUM(AB10:AE10)</f>
        <v>1979.6</v>
      </c>
      <c r="AV10" s="98">
        <f>SUM(AG10:AJ10)</f>
        <v>2211.3000000000002</v>
      </c>
      <c r="AX10" s="100"/>
    </row>
    <row r="11" spans="1:50">
      <c r="A11" s="72" t="s">
        <v>93</v>
      </c>
      <c r="C11" s="101">
        <v>78.7</v>
      </c>
      <c r="D11" s="101">
        <v>84.8</v>
      </c>
      <c r="E11" s="101">
        <v>90.4</v>
      </c>
      <c r="F11" s="101">
        <v>94.6</v>
      </c>
      <c r="G11" s="102"/>
      <c r="H11" s="101">
        <v>96.6</v>
      </c>
      <c r="I11" s="101">
        <v>101.1</v>
      </c>
      <c r="J11" s="101">
        <v>106.4</v>
      </c>
      <c r="K11" s="101">
        <v>110.5</v>
      </c>
      <c r="L11" s="101"/>
      <c r="M11" s="101">
        <v>114.8</v>
      </c>
      <c r="N11" s="101">
        <v>119.8</v>
      </c>
      <c r="O11" s="101">
        <v>131.19999999999999</v>
      </c>
      <c r="P11" s="101">
        <v>132</v>
      </c>
      <c r="Q11" s="101"/>
      <c r="R11" s="101">
        <v>134.30000000000001</v>
      </c>
      <c r="S11" s="101">
        <v>187.7</v>
      </c>
      <c r="T11" s="101">
        <v>198.1</v>
      </c>
      <c r="U11" s="101">
        <v>207.3</v>
      </c>
      <c r="V11" s="101"/>
      <c r="W11" s="101">
        <v>226.6</v>
      </c>
      <c r="X11" s="101">
        <v>233.3</v>
      </c>
      <c r="Y11" s="101">
        <v>236</v>
      </c>
      <c r="Z11" s="101">
        <v>240.3</v>
      </c>
      <c r="AA11" s="101"/>
      <c r="AB11" s="101">
        <v>245.1</v>
      </c>
      <c r="AC11" s="101">
        <v>247.7</v>
      </c>
      <c r="AD11" s="101">
        <v>254.3</v>
      </c>
      <c r="AE11" s="101">
        <v>261.39999999999998</v>
      </c>
      <c r="AF11" s="101"/>
      <c r="AG11" s="101">
        <v>262.39999999999998</v>
      </c>
      <c r="AH11" s="101">
        <v>266.10000000000002</v>
      </c>
      <c r="AI11" s="101">
        <v>283.7</v>
      </c>
      <c r="AJ11" s="101">
        <v>293.2</v>
      </c>
      <c r="AK11" s="102"/>
      <c r="AL11" s="101">
        <v>303.10000000000002</v>
      </c>
      <c r="AM11" s="209">
        <v>317.2</v>
      </c>
      <c r="AN11" s="102"/>
      <c r="AO11" s="101">
        <v>268</v>
      </c>
      <c r="AP11" s="101">
        <v>348.5</v>
      </c>
      <c r="AQ11" s="101">
        <v>414.7</v>
      </c>
      <c r="AR11" s="101">
        <f>SUM(M11:P11)</f>
        <v>497.79999999999995</v>
      </c>
      <c r="AS11" s="101">
        <f>SUM(R11:U11)</f>
        <v>727.40000000000009</v>
      </c>
      <c r="AT11" s="101">
        <f>SUM(W11:Z11)</f>
        <v>936.2</v>
      </c>
      <c r="AU11" s="101">
        <f t="shared" ref="AU11" si="0">SUM(AB11:AE11)</f>
        <v>1008.4999999999999</v>
      </c>
      <c r="AV11" s="101">
        <f>SUM(AG11:AJ11)</f>
        <v>1105.4000000000001</v>
      </c>
      <c r="AX11" s="100"/>
    </row>
    <row r="12" spans="1:50" s="104" customFormat="1" ht="14" thickBot="1">
      <c r="A12" s="104" t="s">
        <v>147</v>
      </c>
      <c r="C12" s="139">
        <f>IF(SUM(C10:C11)='2. Income Stmt'!C15,SUM('4. Geographic Rev'!C10:C11))</f>
        <v>320.2</v>
      </c>
      <c r="D12" s="139">
        <f>IF(SUM(D10:D11)='2. Income Stmt'!D15,SUM('4. Geographic Rev'!D10:D11))</f>
        <v>338.5</v>
      </c>
      <c r="E12" s="139">
        <f>IF(SUM(E10:E11)='2. Income Stmt'!E15,SUM('4. Geographic Rev'!E10:E11))</f>
        <v>356.9</v>
      </c>
      <c r="F12" s="139">
        <f>IF(SUM(F10:F11)='2. Income Stmt'!F15,SUM('4. Geographic Rev'!F10:F11))</f>
        <v>371.70000000000005</v>
      </c>
      <c r="G12" s="140"/>
      <c r="H12" s="139">
        <f>IF(SUM(H10:H11)='2. Income Stmt'!H15,SUM('4. Geographic Rev'!H10:H11))</f>
        <v>376.29999999999995</v>
      </c>
      <c r="I12" s="139">
        <f>IF(SUM(I10:I11)='2. Income Stmt'!I15,SUM('4. Geographic Rev'!I10:I11))</f>
        <v>394.5</v>
      </c>
      <c r="J12" s="139">
        <f>IF(SUM(J10:J11)='2. Income Stmt'!J15,SUM('4. Geographic Rev'!J10:J11))</f>
        <v>411.1</v>
      </c>
      <c r="K12" s="139">
        <f>SUM(K10:K11)</f>
        <v>425.4</v>
      </c>
      <c r="L12" s="140"/>
      <c r="M12" s="139">
        <f>SUM(M10:M11)</f>
        <v>433.7</v>
      </c>
      <c r="N12" s="139">
        <f>SUM(N10:N11)</f>
        <v>456.2</v>
      </c>
      <c r="O12" s="139">
        <f>SUM(O10:O11)</f>
        <v>472.09999999999997</v>
      </c>
      <c r="P12" s="139">
        <f>SUM(P10:P11)</f>
        <v>485.9</v>
      </c>
      <c r="Q12" s="140"/>
      <c r="R12" s="139">
        <f>SUM(R10:R11)</f>
        <v>489.7</v>
      </c>
      <c r="S12" s="139">
        <f>SUM(S10:S11)</f>
        <v>557.79999999999995</v>
      </c>
      <c r="T12" s="139">
        <f>SUM(T10:T11)</f>
        <v>582.20000000000005</v>
      </c>
      <c r="U12" s="139">
        <f>SUM(U10:U11)</f>
        <v>602.20000000000005</v>
      </c>
      <c r="V12" s="140"/>
      <c r="W12" s="139">
        <f>SUM(W10:W11)</f>
        <v>633.20000000000005</v>
      </c>
      <c r="X12" s="139">
        <f>SUM(X10:X11)</f>
        <v>651.6</v>
      </c>
      <c r="Y12" s="139">
        <f>SUM(Y10:Y11)</f>
        <v>679.5</v>
      </c>
      <c r="Z12" s="139">
        <f>SUM(Z10:Z11)</f>
        <v>695.8</v>
      </c>
      <c r="AA12" s="140"/>
      <c r="AB12" s="139">
        <f>SUM(AB10:AB11)</f>
        <v>710</v>
      </c>
      <c r="AC12" s="139">
        <f>SUM(AC10:AC11)</f>
        <v>737.2</v>
      </c>
      <c r="AD12" s="139">
        <f>SUM(AD10:AD11)</f>
        <v>760.5</v>
      </c>
      <c r="AE12" s="139">
        <f>SUM(AE10:AE11)</f>
        <v>780.4</v>
      </c>
      <c r="AF12" s="140"/>
      <c r="AG12" s="139">
        <f>SUM(AG10:AG11)</f>
        <v>792</v>
      </c>
      <c r="AH12" s="139">
        <f>SUM(AH10:AH11)</f>
        <v>806.4</v>
      </c>
      <c r="AI12" s="139">
        <f>SUM(AI10:AI11)</f>
        <v>844.40000000000009</v>
      </c>
      <c r="AJ12" s="139">
        <f>SUM(AJ10:AJ11)</f>
        <v>873.90000000000009</v>
      </c>
      <c r="AK12" s="140"/>
      <c r="AL12" s="139">
        <f>SUM(AL10:AL11)</f>
        <v>901.1</v>
      </c>
      <c r="AM12" s="139">
        <f>SUM(AM10:AM11)</f>
        <v>931.3</v>
      </c>
      <c r="AN12" s="140"/>
      <c r="AO12" s="139">
        <f>IF(SUM(AO10:AO11)='2. Income Stmt'!AO15,SUM('4. Geographic Rev'!AO10:AO11))</f>
        <v>1130.8</v>
      </c>
      <c r="AP12" s="139">
        <f>IF(SUM(AP10:AP11)='2. Income Stmt'!AP15,SUM('4. Geographic Rev'!AP10:AP11))</f>
        <v>1387.3</v>
      </c>
      <c r="AQ12" s="139">
        <f t="shared" ref="AQ12:AV12" si="1">SUM(AQ10:AQ11)</f>
        <v>1607.3</v>
      </c>
      <c r="AR12" s="139">
        <f t="shared" si="1"/>
        <v>1847.8999999999999</v>
      </c>
      <c r="AS12" s="139">
        <f t="shared" si="1"/>
        <v>2231.9</v>
      </c>
      <c r="AT12" s="139">
        <f t="shared" si="1"/>
        <v>2660.1000000000004</v>
      </c>
      <c r="AU12" s="139">
        <f t="shared" si="1"/>
        <v>2988.1</v>
      </c>
      <c r="AV12" s="139">
        <f t="shared" si="1"/>
        <v>3316.7000000000003</v>
      </c>
    </row>
    <row r="13" spans="1:50" ht="14" thickTop="1">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row>
    <row r="15" spans="1:50">
      <c r="P15" s="98"/>
    </row>
    <row r="16" spans="1:50">
      <c r="P16" s="98"/>
    </row>
    <row r="18" spans="4:4" ht="18">
      <c r="D18" s="77"/>
    </row>
  </sheetData>
  <mergeCells count="7">
    <mergeCell ref="AO7:AV7"/>
    <mergeCell ref="C2:AJ2"/>
    <mergeCell ref="C3:AJ3"/>
    <mergeCell ref="C4:AJ4"/>
    <mergeCell ref="AO6:AV6"/>
    <mergeCell ref="C6:AM6"/>
    <mergeCell ref="C7:AM7"/>
  </mergeCells>
  <pageMargins left="0.7" right="0.7" top="0.75" bottom="0.75" header="0.3" footer="0.3"/>
  <pageSetup scale="53" orientation="landscape" r:id="rId1"/>
  <headerFooter>
    <oddFooter>Page &amp;P</oddFooter>
  </headerFooter>
  <colBreaks count="1" manualBreakCount="1">
    <brk id="4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F56"/>
  <sheetViews>
    <sheetView workbookViewId="0"/>
  </sheetViews>
  <sheetFormatPr baseColWidth="10" defaultColWidth="9.19921875" defaultRowHeight="13"/>
  <cols>
    <col min="1" max="1" width="6.59765625" style="5" customWidth="1"/>
    <col min="2" max="2" width="78.796875" style="5" customWidth="1"/>
    <col min="3" max="6" width="1.59765625" style="1" customWidth="1"/>
    <col min="7" max="8" width="12.59765625" style="1" customWidth="1"/>
    <col min="9" max="12" width="13.3984375" style="1" customWidth="1"/>
    <col min="13" max="13" width="4.19921875" style="1" customWidth="1"/>
    <col min="14" max="14" width="12.59765625" style="1" customWidth="1"/>
    <col min="15" max="15" width="13.3984375" style="1" customWidth="1"/>
    <col min="16" max="16" width="9.796875" style="1" customWidth="1"/>
    <col min="17" max="17" width="12.59765625" style="9" customWidth="1"/>
    <col min="18" max="19" width="12.59765625" style="6" customWidth="1"/>
    <col min="20" max="28" width="9.19921875" style="6"/>
    <col min="29" max="16384" width="9.19921875" style="1"/>
  </cols>
  <sheetData>
    <row r="1" spans="1:28" ht="32.25" customHeight="1">
      <c r="A1" s="3"/>
      <c r="B1" s="4"/>
      <c r="D1" s="12"/>
      <c r="E1" s="11"/>
      <c r="F1" s="11"/>
      <c r="J1" s="11"/>
      <c r="K1" s="11"/>
      <c r="L1" s="11"/>
      <c r="P1" s="11"/>
    </row>
    <row r="2" spans="1:28" ht="18.75" customHeight="1">
      <c r="A2" s="3"/>
      <c r="B2" s="4"/>
      <c r="D2" s="12"/>
      <c r="E2" s="13"/>
      <c r="F2" s="13"/>
      <c r="J2" s="13"/>
      <c r="K2" s="13"/>
      <c r="L2" s="13"/>
      <c r="P2" s="13"/>
    </row>
    <row r="3" spans="1:28" ht="18.75" customHeight="1">
      <c r="A3" s="3"/>
      <c r="B3" s="4"/>
      <c r="D3" s="12"/>
      <c r="E3" s="13"/>
      <c r="F3" s="13"/>
      <c r="J3" s="13"/>
      <c r="K3" s="13"/>
      <c r="L3" s="13"/>
      <c r="P3" s="13"/>
    </row>
    <row r="4" spans="1:28" ht="18.75" customHeight="1">
      <c r="A4" s="3"/>
      <c r="B4" s="4"/>
      <c r="D4" s="12"/>
      <c r="E4" s="13"/>
      <c r="F4" s="13"/>
      <c r="J4" s="14"/>
      <c r="K4" s="14"/>
      <c r="L4" s="14"/>
      <c r="P4" s="13"/>
    </row>
    <row r="5" spans="1:28" ht="22.75" customHeight="1">
      <c r="A5" s="3"/>
      <c r="B5" s="14"/>
      <c r="D5" s="12"/>
      <c r="E5" s="14"/>
      <c r="F5" s="14"/>
      <c r="G5" s="14"/>
      <c r="H5" s="14"/>
      <c r="I5" s="14"/>
      <c r="J5" s="14"/>
      <c r="K5" s="14"/>
      <c r="L5" s="14"/>
      <c r="M5" s="14"/>
      <c r="N5" s="14"/>
      <c r="O5" s="14"/>
      <c r="P5" s="14"/>
    </row>
    <row r="6" spans="1:28" ht="15" customHeight="1">
      <c r="A6" s="3"/>
      <c r="B6" s="4"/>
      <c r="D6" s="12"/>
      <c r="E6" s="12"/>
      <c r="F6" s="12"/>
      <c r="G6" s="12"/>
      <c r="H6" s="12"/>
      <c r="I6" s="12"/>
      <c r="J6" s="12"/>
      <c r="K6" s="12"/>
      <c r="L6" s="12"/>
      <c r="M6" s="12"/>
      <c r="N6" s="12"/>
      <c r="O6" s="12"/>
      <c r="P6" s="12"/>
      <c r="R6" s="7"/>
    </row>
    <row r="7" spans="1:28" ht="11.25" customHeight="1">
      <c r="E7" s="58"/>
      <c r="F7" s="58"/>
      <c r="G7" s="236"/>
      <c r="H7" s="236"/>
      <c r="I7" s="236"/>
      <c r="J7" s="236"/>
      <c r="K7" s="236"/>
      <c r="L7" s="236"/>
      <c r="N7" s="59"/>
      <c r="O7" s="59"/>
      <c r="P7" s="6"/>
      <c r="Q7" s="6"/>
      <c r="Y7" s="1"/>
      <c r="Z7" s="1"/>
      <c r="AA7" s="1"/>
      <c r="AB7" s="1"/>
    </row>
    <row r="8" spans="1:28" ht="21.75" customHeight="1">
      <c r="A8" s="10"/>
      <c r="B8" s="10"/>
      <c r="C8" s="9"/>
      <c r="D8" s="8"/>
      <c r="E8" s="8"/>
      <c r="F8" s="8"/>
      <c r="G8" s="8"/>
      <c r="H8" s="8"/>
      <c r="I8" s="8"/>
      <c r="J8" s="8"/>
      <c r="K8" s="8"/>
      <c r="L8" s="8"/>
      <c r="M8" s="8"/>
      <c r="N8" s="8"/>
      <c r="O8" s="8"/>
      <c r="P8" s="6"/>
      <c r="Q8" s="6"/>
      <c r="Y8" s="1"/>
      <c r="Z8" s="1"/>
      <c r="AA8" s="1"/>
      <c r="AB8" s="1"/>
    </row>
    <row r="9" spans="1:28" s="23" customFormat="1" ht="11.25" customHeight="1">
      <c r="A9" s="15"/>
      <c r="B9" s="15"/>
      <c r="C9" s="21"/>
      <c r="D9" s="19"/>
      <c r="E9" s="19"/>
      <c r="F9" s="19"/>
      <c r="G9" s="19"/>
      <c r="H9" s="19"/>
      <c r="I9" s="19"/>
      <c r="J9" s="19"/>
      <c r="K9" s="19"/>
      <c r="L9" s="19"/>
      <c r="M9" s="19"/>
      <c r="N9" s="19"/>
      <c r="O9" s="19"/>
      <c r="P9" s="33"/>
      <c r="Q9" s="33"/>
      <c r="R9" s="33"/>
      <c r="S9" s="33"/>
      <c r="T9" s="33"/>
      <c r="U9" s="33"/>
      <c r="V9" s="33"/>
      <c r="W9" s="33"/>
      <c r="X9" s="33"/>
    </row>
    <row r="10" spans="1:28" s="23" customFormat="1" ht="14.25" customHeight="1">
      <c r="A10" s="20"/>
      <c r="B10" s="15"/>
      <c r="C10" s="21"/>
      <c r="D10" s="22"/>
      <c r="E10" s="22"/>
      <c r="F10" s="22"/>
      <c r="G10" s="22"/>
      <c r="H10" s="22"/>
      <c r="I10" s="22"/>
      <c r="J10" s="22"/>
      <c r="K10" s="22"/>
      <c r="L10" s="22"/>
      <c r="M10" s="40"/>
      <c r="N10" s="22"/>
      <c r="O10" s="22"/>
      <c r="P10" s="33"/>
      <c r="Q10" s="47"/>
      <c r="R10" s="33"/>
      <c r="S10" s="33"/>
      <c r="T10" s="33"/>
      <c r="U10" s="33"/>
      <c r="V10" s="33"/>
      <c r="W10" s="33"/>
      <c r="X10" s="33"/>
    </row>
    <row r="11" spans="1:28" s="23" customFormat="1" ht="10.5" customHeight="1">
      <c r="A11" s="15"/>
      <c r="B11" s="15"/>
      <c r="C11" s="21"/>
      <c r="D11" s="24"/>
      <c r="E11" s="24"/>
      <c r="F11" s="24"/>
      <c r="G11" s="40"/>
      <c r="H11" s="40"/>
      <c r="I11" s="40"/>
      <c r="J11" s="40"/>
      <c r="K11" s="40"/>
      <c r="L11" s="40"/>
      <c r="M11" s="24"/>
      <c r="N11" s="40"/>
      <c r="O11" s="40"/>
      <c r="P11" s="33"/>
      <c r="Q11" s="33"/>
      <c r="R11" s="33"/>
      <c r="S11" s="33"/>
      <c r="T11" s="33"/>
      <c r="U11" s="33"/>
      <c r="V11" s="33"/>
      <c r="W11" s="33"/>
      <c r="X11" s="33"/>
    </row>
    <row r="12" spans="1:28" s="23" customFormat="1" ht="10.5" customHeight="1">
      <c r="A12" s="15"/>
      <c r="B12" s="15"/>
      <c r="C12" s="21"/>
      <c r="D12" s="24"/>
      <c r="E12" s="24"/>
      <c r="F12" s="24"/>
      <c r="G12" s="24"/>
      <c r="H12" s="24"/>
      <c r="I12" s="24"/>
      <c r="J12" s="24"/>
      <c r="K12" s="24"/>
      <c r="L12" s="24"/>
      <c r="M12" s="24"/>
      <c r="N12" s="24"/>
      <c r="O12" s="24"/>
      <c r="P12" s="33"/>
      <c r="Q12" s="33"/>
      <c r="R12" s="33"/>
      <c r="S12" s="33"/>
      <c r="T12" s="33"/>
      <c r="U12" s="33"/>
      <c r="V12" s="33"/>
      <c r="W12" s="33"/>
      <c r="X12" s="33"/>
    </row>
    <row r="13" spans="1:28" s="23" customFormat="1" ht="0.75" customHeight="1">
      <c r="A13" s="15"/>
      <c r="B13" s="16"/>
      <c r="C13" s="21"/>
      <c r="D13" s="17"/>
      <c r="E13" s="18"/>
      <c r="F13" s="18"/>
      <c r="G13" s="17"/>
      <c r="H13" s="17"/>
      <c r="I13" s="17"/>
      <c r="J13" s="17"/>
      <c r="K13" s="17"/>
      <c r="L13" s="17"/>
      <c r="M13" s="18"/>
      <c r="N13" s="17"/>
      <c r="O13" s="17"/>
      <c r="P13" s="33"/>
      <c r="Q13" s="33"/>
      <c r="R13" s="33"/>
      <c r="S13" s="33"/>
      <c r="T13" s="33"/>
      <c r="U13" s="33"/>
      <c r="V13" s="33"/>
      <c r="W13" s="33"/>
      <c r="X13" s="33"/>
    </row>
    <row r="14" spans="1:28" s="23" customFormat="1" ht="18" customHeight="1">
      <c r="A14" s="15"/>
      <c r="B14" s="16"/>
      <c r="C14" s="21"/>
      <c r="D14" s="18"/>
      <c r="E14" s="18"/>
      <c r="F14" s="18"/>
      <c r="G14" s="17"/>
      <c r="H14" s="17"/>
      <c r="I14" s="17"/>
      <c r="J14" s="17"/>
      <c r="K14" s="17"/>
      <c r="L14" s="17"/>
      <c r="M14" s="18"/>
      <c r="N14" s="17"/>
      <c r="O14" s="17"/>
      <c r="P14" s="33"/>
      <c r="Q14" s="33"/>
      <c r="R14" s="33"/>
      <c r="S14" s="48"/>
      <c r="T14" s="33"/>
      <c r="U14" s="33"/>
      <c r="V14" s="33"/>
      <c r="W14" s="33"/>
      <c r="X14" s="33"/>
    </row>
    <row r="15" spans="1:28" s="23" customFormat="1" ht="18" customHeight="1">
      <c r="A15" s="15"/>
      <c r="B15" s="16"/>
      <c r="C15" s="21"/>
      <c r="D15" s="18"/>
      <c r="E15" s="18"/>
      <c r="F15" s="18"/>
      <c r="G15" s="17"/>
      <c r="H15" s="17"/>
      <c r="I15" s="17"/>
      <c r="J15" s="17"/>
      <c r="K15" s="17"/>
      <c r="L15" s="17"/>
      <c r="M15" s="18"/>
      <c r="N15" s="17"/>
      <c r="O15" s="17"/>
      <c r="P15" s="33"/>
      <c r="R15" s="33"/>
      <c r="S15" s="33"/>
      <c r="T15" s="33"/>
      <c r="U15" s="33"/>
      <c r="V15" s="33"/>
      <c r="W15" s="33"/>
      <c r="X15" s="33"/>
    </row>
    <row r="16" spans="1:28" s="23" customFormat="1" ht="18" customHeight="1">
      <c r="A16" s="15"/>
      <c r="B16" s="16"/>
      <c r="C16" s="21"/>
      <c r="D16" s="18"/>
      <c r="E16" s="18"/>
      <c r="F16" s="18"/>
      <c r="G16" s="17"/>
      <c r="H16" s="17"/>
      <c r="I16" s="17"/>
      <c r="J16" s="17"/>
      <c r="K16" s="17"/>
      <c r="L16" s="17"/>
      <c r="M16" s="18"/>
      <c r="N16" s="17"/>
      <c r="O16" s="17"/>
      <c r="P16" s="33"/>
      <c r="Q16" s="33"/>
      <c r="R16" s="33"/>
      <c r="S16" s="33"/>
      <c r="T16" s="33"/>
      <c r="U16" s="33"/>
      <c r="V16" s="33"/>
      <c r="W16" s="33"/>
      <c r="X16" s="33"/>
    </row>
    <row r="17" spans="1:24" s="23" customFormat="1" ht="18" customHeight="1">
      <c r="A17" s="15"/>
      <c r="B17" s="16"/>
      <c r="C17" s="21"/>
      <c r="D17" s="18"/>
      <c r="E17" s="18"/>
      <c r="F17" s="18"/>
      <c r="G17" s="17"/>
      <c r="H17" s="17"/>
      <c r="I17" s="17"/>
      <c r="J17" s="17"/>
      <c r="K17" s="17"/>
      <c r="L17" s="17"/>
      <c r="M17" s="18"/>
      <c r="N17" s="17"/>
      <c r="O17" s="17"/>
      <c r="P17" s="33"/>
      <c r="Q17" s="33"/>
      <c r="R17" s="33"/>
      <c r="S17" s="33"/>
      <c r="T17" s="33"/>
      <c r="U17" s="33"/>
      <c r="V17" s="33"/>
      <c r="W17" s="33"/>
      <c r="X17" s="33"/>
    </row>
    <row r="18" spans="1:24" s="23" customFormat="1" ht="12" customHeight="1">
      <c r="A18" s="15"/>
      <c r="B18" s="16"/>
      <c r="C18" s="21"/>
      <c r="D18" s="18"/>
      <c r="E18" s="18"/>
      <c r="F18" s="18"/>
      <c r="G18" s="18"/>
      <c r="H18" s="18"/>
      <c r="I18" s="18"/>
      <c r="J18" s="18"/>
      <c r="K18" s="18"/>
      <c r="L18" s="18"/>
      <c r="M18" s="18"/>
      <c r="N18" s="18"/>
      <c r="O18" s="17"/>
      <c r="P18" s="33"/>
      <c r="Q18" s="33"/>
      <c r="R18" s="33"/>
      <c r="S18" s="33"/>
      <c r="T18" s="33"/>
      <c r="U18" s="33"/>
      <c r="V18" s="33"/>
      <c r="W18" s="33"/>
      <c r="X18" s="33"/>
    </row>
    <row r="19" spans="1:24" s="23" customFormat="1">
      <c r="A19" s="32"/>
      <c r="B19" s="53"/>
      <c r="C19" s="21"/>
      <c r="D19" s="18"/>
      <c r="E19" s="18"/>
      <c r="F19" s="18"/>
      <c r="G19" s="22"/>
      <c r="H19" s="22"/>
      <c r="I19" s="22"/>
      <c r="J19" s="22"/>
      <c r="K19" s="22"/>
      <c r="L19" s="22"/>
      <c r="M19" s="40"/>
      <c r="N19" s="22"/>
      <c r="O19" s="22"/>
      <c r="P19" s="33"/>
      <c r="Q19" s="47"/>
      <c r="R19" s="49"/>
      <c r="S19" s="50"/>
      <c r="T19" s="50"/>
      <c r="U19" s="50"/>
      <c r="V19" s="33"/>
      <c r="W19" s="33"/>
      <c r="X19" s="33"/>
    </row>
    <row r="20" spans="1:24" s="23" customFormat="1" ht="11.25" customHeight="1">
      <c r="A20" s="32"/>
      <c r="B20" s="53"/>
      <c r="C20" s="21"/>
      <c r="D20" s="18"/>
      <c r="E20" s="18"/>
      <c r="F20" s="18"/>
      <c r="G20" s="40"/>
      <c r="H20" s="40"/>
      <c r="I20" s="40"/>
      <c r="J20" s="40"/>
      <c r="K20" s="40"/>
      <c r="L20" s="40"/>
      <c r="M20" s="18"/>
      <c r="N20" s="40"/>
      <c r="O20" s="40"/>
      <c r="P20" s="33"/>
      <c r="Q20" s="33"/>
      <c r="R20" s="39"/>
      <c r="S20" s="39"/>
      <c r="T20" s="39"/>
      <c r="U20" s="39"/>
      <c r="V20" s="39"/>
      <c r="W20" s="33"/>
      <c r="X20" s="33"/>
    </row>
    <row r="21" spans="1:24" s="23" customFormat="1" ht="0.75" customHeight="1">
      <c r="A21" s="32"/>
      <c r="B21" s="53"/>
      <c r="C21" s="21"/>
      <c r="D21" s="18"/>
      <c r="E21" s="18"/>
      <c r="F21" s="18"/>
      <c r="G21" s="22"/>
      <c r="H21" s="22"/>
      <c r="I21" s="22"/>
      <c r="J21" s="22"/>
      <c r="K21" s="22"/>
      <c r="L21" s="22"/>
      <c r="M21" s="18"/>
      <c r="N21" s="22"/>
      <c r="O21" s="22"/>
      <c r="P21" s="33"/>
      <c r="Q21" s="33"/>
      <c r="R21" s="39"/>
      <c r="S21" s="51"/>
      <c r="T21" s="51"/>
      <c r="U21" s="51"/>
      <c r="V21" s="39"/>
      <c r="W21" s="33"/>
      <c r="X21" s="33"/>
    </row>
    <row r="22" spans="1:24" s="23" customFormat="1" ht="14.25" customHeight="1">
      <c r="A22" s="20"/>
      <c r="B22" s="15"/>
      <c r="C22" s="21"/>
      <c r="D22" s="22"/>
      <c r="E22" s="22"/>
      <c r="F22" s="22"/>
      <c r="G22" s="22"/>
      <c r="H22" s="22"/>
      <c r="I22" s="22"/>
      <c r="J22" s="22"/>
      <c r="K22" s="22"/>
      <c r="L22" s="22"/>
      <c r="M22" s="40"/>
      <c r="N22" s="22"/>
      <c r="O22" s="22"/>
      <c r="P22" s="33"/>
      <c r="Q22" s="47"/>
      <c r="R22" s="52"/>
      <c r="S22" s="52"/>
      <c r="T22" s="52"/>
      <c r="U22" s="52"/>
      <c r="V22" s="52"/>
      <c r="W22" s="49"/>
      <c r="X22" s="33"/>
    </row>
    <row r="23" spans="1:24" s="23" customFormat="1" ht="10.5" customHeight="1">
      <c r="A23" s="15"/>
      <c r="B23" s="15"/>
      <c r="C23" s="21"/>
      <c r="D23" s="24"/>
      <c r="E23" s="24"/>
      <c r="F23" s="24"/>
      <c r="G23" s="40"/>
      <c r="H23" s="40"/>
      <c r="I23" s="40"/>
      <c r="J23" s="40"/>
      <c r="K23" s="40"/>
      <c r="L23" s="40"/>
      <c r="M23" s="24"/>
      <c r="N23" s="40"/>
      <c r="O23" s="40"/>
      <c r="P23" s="33"/>
      <c r="Q23" s="33"/>
      <c r="R23" s="33"/>
      <c r="S23" s="33"/>
      <c r="T23" s="33"/>
      <c r="U23" s="33"/>
      <c r="V23" s="33"/>
      <c r="W23" s="33"/>
      <c r="X23" s="33"/>
    </row>
    <row r="24" spans="1:24" s="23" customFormat="1" ht="6.75" customHeight="1">
      <c r="A24" s="15"/>
      <c r="B24" s="16"/>
      <c r="C24" s="21"/>
      <c r="D24" s="17"/>
      <c r="E24" s="18"/>
      <c r="F24" s="18"/>
      <c r="G24" s="17"/>
      <c r="H24" s="17"/>
      <c r="I24" s="17"/>
      <c r="J24" s="17"/>
      <c r="K24" s="17"/>
      <c r="L24" s="17"/>
      <c r="M24" s="18"/>
      <c r="N24" s="17"/>
      <c r="O24" s="17"/>
      <c r="P24" s="33"/>
      <c r="Q24" s="33"/>
      <c r="R24" s="33"/>
      <c r="S24" s="33"/>
      <c r="T24" s="33"/>
      <c r="U24" s="33"/>
      <c r="V24" s="33"/>
      <c r="W24" s="33"/>
      <c r="X24" s="33"/>
    </row>
    <row r="25" spans="1:24" s="23" customFormat="1" ht="21" customHeight="1">
      <c r="A25" s="15"/>
      <c r="B25" s="16"/>
      <c r="C25" s="21"/>
      <c r="D25" s="18"/>
      <c r="E25" s="18"/>
      <c r="F25" s="18"/>
      <c r="G25" s="17"/>
      <c r="H25" s="17"/>
      <c r="I25" s="17"/>
      <c r="J25" s="17"/>
      <c r="K25" s="17"/>
      <c r="L25" s="17"/>
      <c r="M25" s="18"/>
      <c r="N25" s="17"/>
      <c r="O25" s="17"/>
      <c r="P25" s="33"/>
      <c r="Q25" s="33"/>
      <c r="R25" s="33"/>
      <c r="S25" s="33"/>
      <c r="T25" s="33"/>
      <c r="U25" s="33"/>
      <c r="V25" s="33"/>
      <c r="W25" s="33"/>
      <c r="X25" s="33"/>
    </row>
    <row r="26" spans="1:24" s="23" customFormat="1" ht="21" customHeight="1">
      <c r="A26" s="15"/>
      <c r="B26" s="16"/>
      <c r="C26" s="21"/>
      <c r="D26" s="18"/>
      <c r="E26" s="18"/>
      <c r="F26" s="18"/>
      <c r="G26" s="17"/>
      <c r="H26" s="17"/>
      <c r="I26" s="17"/>
      <c r="J26" s="17"/>
      <c r="K26" s="17"/>
      <c r="L26" s="17"/>
      <c r="M26" s="18"/>
      <c r="N26" s="17"/>
      <c r="O26" s="17"/>
      <c r="P26" s="33"/>
      <c r="Q26" s="33"/>
      <c r="R26" s="33"/>
      <c r="S26" s="33"/>
      <c r="T26" s="33"/>
      <c r="U26" s="33"/>
      <c r="V26" s="33"/>
      <c r="W26" s="33"/>
      <c r="X26" s="33"/>
    </row>
    <row r="27" spans="1:24" s="23" customFormat="1" ht="21" customHeight="1">
      <c r="A27" s="15"/>
      <c r="B27" s="16"/>
      <c r="C27" s="21"/>
      <c r="D27" s="18"/>
      <c r="E27" s="18"/>
      <c r="F27" s="18"/>
      <c r="G27" s="17"/>
      <c r="H27" s="17"/>
      <c r="I27" s="17"/>
      <c r="J27" s="17"/>
      <c r="K27" s="17"/>
      <c r="L27" s="17"/>
      <c r="M27" s="18"/>
      <c r="N27" s="17"/>
      <c r="O27" s="17"/>
      <c r="P27" s="33"/>
      <c r="Q27" s="33"/>
      <c r="R27" s="33"/>
      <c r="S27" s="33"/>
      <c r="T27" s="33"/>
      <c r="U27" s="33"/>
      <c r="V27" s="33"/>
      <c r="W27" s="33"/>
      <c r="X27" s="33"/>
    </row>
    <row r="28" spans="1:24" s="23" customFormat="1" ht="21" customHeight="1">
      <c r="A28" s="15"/>
      <c r="B28" s="16"/>
      <c r="C28" s="21"/>
      <c r="D28" s="18"/>
      <c r="E28" s="18"/>
      <c r="F28" s="18"/>
      <c r="G28" s="17"/>
      <c r="H28" s="17"/>
      <c r="I28" s="17"/>
      <c r="J28" s="17"/>
      <c r="K28" s="17"/>
      <c r="L28" s="17"/>
      <c r="M28" s="18"/>
      <c r="N28" s="17"/>
      <c r="O28" s="17"/>
      <c r="P28" s="33"/>
      <c r="Q28" s="33"/>
      <c r="R28" s="33"/>
      <c r="S28" s="33"/>
      <c r="T28" s="33"/>
      <c r="U28" s="33"/>
      <c r="V28" s="33"/>
      <c r="W28" s="33"/>
      <c r="X28" s="33"/>
    </row>
    <row r="29" spans="1:24" s="23" customFormat="1" ht="21" customHeight="1">
      <c r="A29" s="15"/>
      <c r="B29" s="16"/>
      <c r="C29" s="21"/>
      <c r="D29" s="18"/>
      <c r="E29" s="18"/>
      <c r="F29" s="18"/>
      <c r="G29" s="17"/>
      <c r="H29" s="17"/>
      <c r="I29" s="17"/>
      <c r="J29" s="17"/>
      <c r="K29" s="17"/>
      <c r="L29" s="17"/>
      <c r="M29" s="18"/>
      <c r="N29" s="17"/>
      <c r="O29" s="17"/>
      <c r="P29" s="33"/>
      <c r="Q29" s="33"/>
      <c r="R29" s="33"/>
      <c r="S29" s="33"/>
      <c r="T29" s="33"/>
      <c r="U29" s="33"/>
      <c r="V29" s="33"/>
      <c r="W29" s="33"/>
      <c r="X29" s="33"/>
    </row>
    <row r="30" spans="1:24" s="23" customFormat="1" ht="21" customHeight="1">
      <c r="A30" s="15"/>
      <c r="B30" s="16"/>
      <c r="C30" s="21"/>
      <c r="D30" s="18"/>
      <c r="E30" s="18"/>
      <c r="F30" s="18"/>
      <c r="G30" s="17"/>
      <c r="H30" s="17"/>
      <c r="I30" s="17"/>
      <c r="J30" s="17"/>
      <c r="K30" s="17"/>
      <c r="L30" s="17"/>
      <c r="M30" s="18"/>
      <c r="N30" s="17"/>
      <c r="O30" s="17"/>
      <c r="P30" s="33"/>
      <c r="Q30" s="33"/>
      <c r="R30" s="33"/>
      <c r="S30" s="33"/>
      <c r="T30" s="33"/>
      <c r="U30" s="33"/>
      <c r="V30" s="33"/>
      <c r="W30" s="33"/>
      <c r="X30" s="33"/>
    </row>
    <row r="31" spans="1:24" s="23" customFormat="1" ht="36.75" customHeight="1">
      <c r="A31" s="15"/>
      <c r="B31" s="16"/>
      <c r="C31" s="21"/>
      <c r="D31" s="18"/>
      <c r="E31" s="18"/>
      <c r="F31" s="18"/>
      <c r="G31" s="17"/>
      <c r="H31" s="17"/>
      <c r="I31" s="17"/>
      <c r="J31" s="17"/>
      <c r="K31" s="17"/>
      <c r="L31" s="17"/>
      <c r="M31" s="18"/>
      <c r="N31" s="17"/>
      <c r="O31" s="17"/>
      <c r="P31" s="33"/>
      <c r="Q31" s="33"/>
      <c r="R31" s="33"/>
      <c r="S31" s="33"/>
      <c r="T31" s="33"/>
      <c r="U31" s="33"/>
      <c r="V31" s="33"/>
      <c r="W31" s="33"/>
      <c r="X31" s="33"/>
    </row>
    <row r="32" spans="1:24" s="23" customFormat="1" ht="8.25" customHeight="1">
      <c r="B32" s="16"/>
      <c r="C32" s="21"/>
      <c r="D32" s="18"/>
      <c r="E32" s="18"/>
      <c r="F32" s="18"/>
      <c r="G32" s="18"/>
      <c r="H32" s="18"/>
      <c r="I32" s="18"/>
      <c r="J32" s="17"/>
      <c r="K32" s="17"/>
      <c r="L32" s="17"/>
      <c r="M32" s="18"/>
      <c r="N32" s="18"/>
      <c r="O32" s="18"/>
      <c r="P32" s="33"/>
      <c r="Q32" s="33"/>
      <c r="R32" s="33"/>
      <c r="S32" s="33"/>
      <c r="T32" s="33"/>
      <c r="U32" s="33"/>
      <c r="V32" s="33"/>
      <c r="W32" s="33"/>
      <c r="X32" s="33"/>
    </row>
    <row r="33" spans="1:27" s="23" customFormat="1">
      <c r="A33" s="32"/>
      <c r="B33" s="53"/>
      <c r="C33" s="21"/>
      <c r="D33" s="18"/>
      <c r="E33" s="18"/>
      <c r="F33" s="18"/>
      <c r="G33" s="22"/>
      <c r="H33" s="22"/>
      <c r="I33" s="22"/>
      <c r="J33" s="22"/>
      <c r="K33" s="22"/>
      <c r="L33" s="22"/>
      <c r="M33" s="40"/>
      <c r="N33" s="22"/>
      <c r="O33" s="22"/>
      <c r="P33" s="33"/>
      <c r="Q33" s="47"/>
      <c r="R33" s="54"/>
      <c r="S33" s="54"/>
      <c r="T33" s="54"/>
      <c r="U33" s="54"/>
      <c r="V33" s="54"/>
      <c r="W33" s="33"/>
      <c r="X33" s="33"/>
    </row>
    <row r="34" spans="1:27" s="23" customFormat="1" ht="10.5" customHeight="1">
      <c r="A34" s="15"/>
      <c r="B34" s="15"/>
      <c r="C34" s="21"/>
      <c r="D34" s="24"/>
      <c r="E34" s="24"/>
      <c r="F34" s="24"/>
      <c r="G34" s="60"/>
      <c r="H34" s="60"/>
      <c r="I34" s="60"/>
      <c r="J34" s="60"/>
      <c r="K34" s="60"/>
      <c r="L34" s="60"/>
      <c r="M34" s="24"/>
      <c r="N34" s="60"/>
      <c r="O34" s="60"/>
      <c r="P34" s="33"/>
      <c r="Q34" s="33"/>
      <c r="R34" s="33"/>
      <c r="S34" s="33"/>
      <c r="T34" s="33"/>
      <c r="U34" s="33"/>
      <c r="V34" s="33"/>
      <c r="W34" s="33"/>
      <c r="X34" s="33"/>
    </row>
    <row r="35" spans="1:27" s="23" customFormat="1" ht="10.5" customHeight="1">
      <c r="A35" s="15"/>
      <c r="B35" s="15"/>
      <c r="C35" s="21"/>
      <c r="D35" s="24"/>
      <c r="E35" s="24"/>
      <c r="F35" s="24"/>
      <c r="G35" s="24"/>
      <c r="H35" s="43"/>
      <c r="I35" s="43"/>
      <c r="J35" s="43"/>
      <c r="K35" s="43"/>
      <c r="L35" s="43"/>
      <c r="M35" s="24"/>
      <c r="N35" s="24"/>
      <c r="O35" s="24"/>
      <c r="P35" s="33"/>
      <c r="Q35" s="33"/>
      <c r="R35" s="33"/>
      <c r="S35" s="33"/>
      <c r="T35" s="33"/>
      <c r="U35" s="33"/>
      <c r="V35" s="33"/>
      <c r="W35" s="33"/>
      <c r="X35" s="33"/>
    </row>
    <row r="36" spans="1:27" s="23" customFormat="1" ht="34.5" customHeight="1">
      <c r="A36" s="237"/>
      <c r="B36" s="237"/>
      <c r="C36" s="25"/>
      <c r="D36" s="26"/>
      <c r="E36" s="26"/>
      <c r="F36" s="26"/>
      <c r="G36" s="26"/>
      <c r="H36" s="26"/>
      <c r="I36" s="26"/>
      <c r="J36" s="26"/>
      <c r="K36" s="26"/>
      <c r="L36" s="26"/>
      <c r="M36" s="26"/>
      <c r="N36" s="26"/>
      <c r="O36" s="26"/>
      <c r="P36" s="33"/>
      <c r="Q36" s="33"/>
      <c r="R36" s="33"/>
      <c r="S36" s="33"/>
      <c r="T36" s="33"/>
      <c r="U36" s="33"/>
      <c r="V36" s="33"/>
      <c r="W36" s="33"/>
      <c r="X36" s="33"/>
    </row>
    <row r="37" spans="1:27" s="23" customFormat="1" ht="8.25" customHeight="1">
      <c r="A37" s="15"/>
      <c r="B37" s="15"/>
      <c r="C37" s="25"/>
      <c r="D37" s="27"/>
      <c r="E37" s="27"/>
      <c r="F37" s="27"/>
      <c r="G37" s="27"/>
      <c r="H37" s="27"/>
      <c r="I37" s="27"/>
      <c r="J37" s="27"/>
      <c r="K37" s="27"/>
      <c r="L37" s="27"/>
      <c r="M37" s="27"/>
      <c r="N37" s="27"/>
      <c r="O37" s="27"/>
      <c r="P37" s="33"/>
      <c r="Q37" s="33"/>
      <c r="R37" s="33"/>
      <c r="S37" s="33"/>
      <c r="T37" s="33"/>
      <c r="U37" s="33"/>
      <c r="V37" s="33"/>
      <c r="W37" s="33"/>
      <c r="X37" s="33"/>
    </row>
    <row r="38" spans="1:27" s="23" customFormat="1" ht="30.75" customHeight="1">
      <c r="A38" s="237"/>
      <c r="B38" s="237"/>
      <c r="C38" s="25"/>
      <c r="D38" s="26"/>
      <c r="E38" s="26"/>
      <c r="F38" s="26"/>
      <c r="G38" s="26"/>
      <c r="H38" s="26"/>
      <c r="I38" s="26"/>
      <c r="J38" s="26"/>
      <c r="K38" s="26"/>
      <c r="L38" s="26"/>
      <c r="M38" s="26"/>
      <c r="N38" s="26"/>
      <c r="O38" s="26"/>
      <c r="P38" s="33"/>
      <c r="Q38" s="47"/>
      <c r="R38" s="33"/>
      <c r="S38" s="33"/>
      <c r="T38" s="33"/>
      <c r="U38" s="33"/>
      <c r="V38" s="33"/>
      <c r="W38" s="33"/>
      <c r="X38" s="33"/>
    </row>
    <row r="39" spans="1:27" s="23" customFormat="1" ht="11.25" customHeight="1">
      <c r="A39" s="28"/>
      <c r="B39" s="28"/>
      <c r="C39" s="29"/>
      <c r="D39" s="30"/>
      <c r="E39" s="30"/>
      <c r="F39" s="30"/>
      <c r="G39" s="42"/>
      <c r="H39" s="42"/>
      <c r="I39" s="42"/>
      <c r="J39" s="42"/>
      <c r="K39" s="42"/>
      <c r="L39" s="42"/>
      <c r="M39" s="30"/>
      <c r="N39" s="42"/>
      <c r="O39" s="42"/>
      <c r="P39" s="33"/>
      <c r="Q39" s="33"/>
      <c r="R39" s="33"/>
      <c r="S39" s="33"/>
      <c r="T39" s="33"/>
      <c r="U39" s="33"/>
      <c r="V39" s="33"/>
      <c r="W39" s="33"/>
      <c r="X39" s="33"/>
    </row>
    <row r="40" spans="1:27" s="23" customFormat="1">
      <c r="A40" s="20"/>
      <c r="B40" s="28"/>
      <c r="C40" s="29"/>
      <c r="D40" s="30"/>
      <c r="E40" s="30"/>
      <c r="F40" s="30"/>
      <c r="G40" s="26"/>
      <c r="H40" s="26"/>
      <c r="I40" s="26"/>
      <c r="J40" s="26"/>
      <c r="K40" s="26"/>
      <c r="L40" s="26"/>
      <c r="M40" s="30"/>
      <c r="N40" s="26"/>
      <c r="O40" s="26"/>
      <c r="P40" s="33"/>
      <c r="Q40" s="47"/>
      <c r="R40" s="33"/>
      <c r="S40" s="33"/>
      <c r="T40" s="33"/>
      <c r="U40" s="33"/>
      <c r="V40" s="33"/>
      <c r="W40" s="33"/>
      <c r="X40" s="33"/>
    </row>
    <row r="41" spans="1:27" s="23" customFormat="1" ht="11.25" customHeight="1">
      <c r="A41" s="31"/>
      <c r="B41" s="28"/>
      <c r="C41" s="29"/>
      <c r="D41" s="30"/>
      <c r="E41" s="30"/>
      <c r="F41" s="30"/>
      <c r="G41" s="42"/>
      <c r="H41" s="42"/>
      <c r="I41" s="42"/>
      <c r="J41" s="42"/>
      <c r="K41" s="42"/>
      <c r="L41" s="42"/>
      <c r="M41" s="30"/>
      <c r="N41" s="42"/>
      <c r="O41" s="42"/>
      <c r="P41" s="33"/>
      <c r="Q41" s="47"/>
      <c r="R41" s="33"/>
      <c r="S41" s="33"/>
      <c r="T41" s="33"/>
      <c r="U41" s="33"/>
      <c r="V41" s="33"/>
      <c r="W41" s="33"/>
      <c r="X41" s="33"/>
    </row>
    <row r="42" spans="1:27" s="23" customFormat="1">
      <c r="A42" s="20"/>
      <c r="B42" s="28"/>
      <c r="C42" s="29"/>
      <c r="D42" s="30"/>
      <c r="E42" s="30"/>
      <c r="F42" s="30"/>
      <c r="G42" s="26"/>
      <c r="H42" s="26"/>
      <c r="I42" s="26"/>
      <c r="J42" s="26"/>
      <c r="K42" s="26"/>
      <c r="L42" s="26"/>
      <c r="M42" s="30"/>
      <c r="N42" s="26"/>
      <c r="O42" s="26"/>
      <c r="P42" s="33"/>
      <c r="Q42" s="47"/>
      <c r="R42" s="54"/>
      <c r="S42" s="55"/>
      <c r="T42" s="33"/>
      <c r="U42" s="33"/>
      <c r="V42" s="33"/>
      <c r="W42" s="33"/>
      <c r="X42" s="33"/>
    </row>
    <row r="43" spans="1:27" s="23" customFormat="1" ht="11.25" customHeight="1">
      <c r="A43" s="15"/>
      <c r="B43" s="15"/>
      <c r="C43" s="25"/>
      <c r="D43" s="21"/>
      <c r="E43" s="21"/>
      <c r="F43" s="21"/>
      <c r="G43" s="21"/>
      <c r="H43" s="21"/>
      <c r="I43" s="21"/>
      <c r="J43" s="21"/>
      <c r="K43" s="21"/>
      <c r="L43" s="21"/>
      <c r="M43" s="21"/>
      <c r="N43" s="21"/>
      <c r="O43" s="21"/>
      <c r="P43" s="33"/>
      <c r="Q43" s="33"/>
      <c r="R43" s="33"/>
      <c r="S43" s="33"/>
      <c r="T43" s="33"/>
      <c r="U43" s="33"/>
      <c r="V43" s="33"/>
      <c r="W43" s="33"/>
      <c r="X43" s="33"/>
    </row>
    <row r="44" spans="1:27" s="23" customFormat="1" ht="11.25" customHeight="1">
      <c r="A44" s="10"/>
      <c r="B44" s="15"/>
      <c r="C44" s="25"/>
      <c r="D44" s="17"/>
      <c r="E44" s="17"/>
      <c r="F44" s="17"/>
      <c r="G44" s="17"/>
      <c r="H44" s="17"/>
      <c r="I44" s="17"/>
      <c r="J44" s="17"/>
      <c r="K44" s="17"/>
      <c r="L44" s="17"/>
      <c r="M44" s="17"/>
      <c r="N44" s="17"/>
      <c r="O44" s="17"/>
      <c r="P44" s="33"/>
      <c r="Q44" s="33"/>
      <c r="R44" s="33"/>
      <c r="S44" s="33"/>
      <c r="T44" s="33"/>
      <c r="U44" s="33"/>
      <c r="V44" s="33"/>
      <c r="W44" s="33"/>
      <c r="X44" s="33"/>
    </row>
    <row r="45" spans="1:27" s="23" customFormat="1" ht="11.25" customHeight="1">
      <c r="A45" s="10"/>
      <c r="B45" s="15"/>
      <c r="C45" s="25"/>
      <c r="D45" s="17"/>
      <c r="E45" s="17"/>
      <c r="F45" s="17"/>
      <c r="G45" s="17"/>
      <c r="H45" s="17"/>
      <c r="I45" s="17"/>
      <c r="J45" s="17"/>
      <c r="K45" s="17"/>
      <c r="L45" s="17"/>
      <c r="M45" s="17"/>
      <c r="N45" s="17"/>
      <c r="O45" s="17"/>
      <c r="P45" s="33"/>
      <c r="Q45" s="56"/>
      <c r="R45" s="33"/>
      <c r="S45" s="33"/>
      <c r="T45" s="33"/>
      <c r="U45" s="33"/>
      <c r="V45" s="33"/>
      <c r="W45" s="33"/>
      <c r="X45" s="33"/>
    </row>
    <row r="46" spans="1:27" s="23" customFormat="1" ht="11.25" customHeight="1">
      <c r="A46" s="31"/>
      <c r="B46" s="28"/>
      <c r="C46" s="29"/>
      <c r="D46" s="30"/>
      <c r="E46" s="30"/>
      <c r="F46" s="30"/>
      <c r="G46" s="34"/>
      <c r="H46" s="34"/>
      <c r="I46" s="34"/>
      <c r="J46" s="34"/>
      <c r="K46" s="34"/>
      <c r="L46" s="34"/>
      <c r="M46" s="30"/>
      <c r="N46" s="34"/>
      <c r="O46" s="34"/>
      <c r="P46" s="33"/>
      <c r="Q46" s="33"/>
      <c r="R46" s="33"/>
      <c r="S46" s="33"/>
      <c r="T46" s="33"/>
      <c r="U46" s="33"/>
      <c r="V46" s="33"/>
      <c r="W46" s="33"/>
      <c r="X46" s="33"/>
    </row>
    <row r="47" spans="1:27" s="2" customFormat="1" ht="19.5" customHeight="1">
      <c r="G47" s="34"/>
      <c r="H47" s="34"/>
      <c r="I47" s="34"/>
      <c r="J47" s="34"/>
      <c r="K47" s="34"/>
      <c r="L47" s="34"/>
      <c r="N47" s="34"/>
      <c r="O47" s="34"/>
      <c r="R47" s="12"/>
      <c r="S47" s="6"/>
      <c r="T47" s="6"/>
      <c r="U47" s="6"/>
      <c r="V47" s="6"/>
      <c r="W47" s="6"/>
      <c r="X47" s="6"/>
      <c r="Y47" s="6"/>
      <c r="Z47" s="6"/>
      <c r="AA47" s="6"/>
    </row>
    <row r="48" spans="1:27" s="12" customFormat="1" ht="24.75" customHeight="1">
      <c r="A48" s="234"/>
      <c r="B48" s="234"/>
      <c r="C48" s="234"/>
      <c r="D48" s="234"/>
      <c r="E48" s="234"/>
      <c r="F48" s="234"/>
      <c r="G48" s="234"/>
      <c r="H48" s="234"/>
      <c r="I48" s="234"/>
      <c r="J48" s="234"/>
      <c r="K48" s="234"/>
      <c r="L48" s="234"/>
      <c r="M48" s="234"/>
      <c r="N48" s="234"/>
      <c r="O48" s="234"/>
      <c r="P48" s="234"/>
      <c r="Q48" s="45"/>
    </row>
    <row r="49" spans="1:240" s="12" customFormat="1" ht="24.75" customHeight="1">
      <c r="A49" s="238"/>
      <c r="B49" s="238"/>
      <c r="C49" s="238"/>
      <c r="D49" s="238"/>
      <c r="E49" s="238"/>
      <c r="F49" s="238"/>
      <c r="G49" s="238"/>
      <c r="H49" s="238"/>
      <c r="I49" s="238"/>
      <c r="J49" s="238"/>
      <c r="K49" s="238"/>
      <c r="L49" s="238"/>
      <c r="M49" s="238"/>
      <c r="N49" s="238"/>
      <c r="O49" s="46"/>
      <c r="P49" s="46"/>
      <c r="Q49" s="45"/>
    </row>
    <row r="50" spans="1:240" s="61" customFormat="1" ht="17.25" customHeight="1">
      <c r="A50" s="45"/>
      <c r="B50" s="57"/>
      <c r="C50" s="57"/>
      <c r="D50" s="57"/>
      <c r="E50" s="57"/>
      <c r="F50" s="57"/>
      <c r="G50" s="57"/>
      <c r="H50" s="57"/>
      <c r="I50" s="57"/>
      <c r="J50" s="57"/>
      <c r="K50" s="57"/>
      <c r="L50" s="57"/>
      <c r="M50" s="57"/>
      <c r="N50" s="57"/>
      <c r="O50" s="57"/>
      <c r="P50" s="57"/>
      <c r="Q50" s="41"/>
      <c r="R50" s="12"/>
      <c r="S50" s="12"/>
      <c r="T50" s="12"/>
      <c r="U50" s="12"/>
      <c r="V50" s="12"/>
      <c r="W50" s="12"/>
      <c r="X50" s="12"/>
      <c r="Y50" s="12"/>
      <c r="Z50" s="12"/>
      <c r="AA50" s="12"/>
      <c r="AB50" s="12"/>
      <c r="AC50" s="12"/>
      <c r="AD50" s="12"/>
      <c r="AE50" s="12"/>
      <c r="AF50" s="12"/>
      <c r="AG50" s="231"/>
      <c r="AH50" s="232"/>
      <c r="AI50" s="232"/>
      <c r="AJ50" s="232"/>
      <c r="AK50" s="232"/>
      <c r="AL50" s="232"/>
      <c r="AM50" s="232"/>
      <c r="AN50" s="232"/>
      <c r="AO50" s="232"/>
      <c r="AP50" s="232"/>
      <c r="AQ50" s="232"/>
      <c r="AR50" s="232"/>
      <c r="AS50" s="232"/>
      <c r="AT50" s="232"/>
      <c r="AU50" s="232"/>
      <c r="AV50" s="232"/>
      <c r="AW50" s="231"/>
      <c r="AX50" s="232"/>
      <c r="AY50" s="232"/>
      <c r="AZ50" s="232"/>
      <c r="BA50" s="232"/>
      <c r="BB50" s="232"/>
      <c r="BC50" s="232"/>
      <c r="BD50" s="232"/>
      <c r="BE50" s="232"/>
      <c r="BF50" s="232"/>
      <c r="BG50" s="232"/>
      <c r="BH50" s="232"/>
      <c r="BI50" s="232"/>
      <c r="BJ50" s="232"/>
      <c r="BK50" s="232"/>
      <c r="BL50" s="232"/>
      <c r="BM50" s="231"/>
      <c r="BN50" s="232"/>
      <c r="BO50" s="232"/>
      <c r="BP50" s="232"/>
      <c r="BQ50" s="232"/>
      <c r="BR50" s="232"/>
      <c r="BS50" s="232"/>
      <c r="BT50" s="232"/>
      <c r="BU50" s="232"/>
      <c r="BV50" s="232"/>
      <c r="BW50" s="232"/>
      <c r="BX50" s="232"/>
      <c r="BY50" s="232"/>
      <c r="BZ50" s="232"/>
      <c r="CA50" s="232"/>
      <c r="CB50" s="232"/>
      <c r="CC50" s="231"/>
      <c r="CD50" s="232"/>
      <c r="CE50" s="232"/>
      <c r="CF50" s="232"/>
      <c r="CG50" s="232"/>
      <c r="CH50" s="232"/>
      <c r="CI50" s="232"/>
      <c r="CJ50" s="232"/>
      <c r="CK50" s="232"/>
      <c r="CL50" s="232"/>
      <c r="CM50" s="232"/>
      <c r="CN50" s="232"/>
      <c r="CO50" s="232"/>
      <c r="CP50" s="232"/>
      <c r="CQ50" s="232"/>
      <c r="CR50" s="232"/>
      <c r="CS50" s="231"/>
      <c r="CT50" s="232"/>
      <c r="CU50" s="232"/>
      <c r="CV50" s="232"/>
      <c r="CW50" s="232"/>
      <c r="CX50" s="232"/>
      <c r="CY50" s="232"/>
      <c r="CZ50" s="232"/>
      <c r="DA50" s="232"/>
      <c r="DB50" s="232"/>
      <c r="DC50" s="232"/>
      <c r="DD50" s="232"/>
      <c r="DE50" s="232"/>
      <c r="DF50" s="232"/>
      <c r="DG50" s="232"/>
      <c r="DH50" s="232"/>
      <c r="DI50" s="231"/>
      <c r="DJ50" s="232"/>
      <c r="DK50" s="232"/>
      <c r="DL50" s="232"/>
      <c r="DM50" s="232"/>
      <c r="DN50" s="232"/>
      <c r="DO50" s="232"/>
      <c r="DP50" s="232"/>
      <c r="DQ50" s="232"/>
      <c r="DR50" s="232"/>
      <c r="DS50" s="232"/>
      <c r="DT50" s="232"/>
      <c r="DU50" s="232"/>
      <c r="DV50" s="232"/>
      <c r="DW50" s="232"/>
      <c r="DX50" s="232"/>
      <c r="DY50" s="231"/>
      <c r="DZ50" s="232"/>
      <c r="EA50" s="232"/>
      <c r="EB50" s="232"/>
      <c r="EC50" s="232"/>
      <c r="ED50" s="232"/>
      <c r="EE50" s="232"/>
      <c r="EF50" s="232"/>
      <c r="EG50" s="232"/>
      <c r="EH50" s="232"/>
      <c r="EI50" s="232"/>
      <c r="EJ50" s="232"/>
      <c r="EK50" s="232"/>
      <c r="EL50" s="232"/>
      <c r="EM50" s="232"/>
      <c r="EN50" s="232"/>
      <c r="EO50" s="231"/>
      <c r="EP50" s="232"/>
      <c r="EQ50" s="232"/>
      <c r="ER50" s="232"/>
      <c r="ES50" s="232"/>
      <c r="ET50" s="232"/>
      <c r="EU50" s="232"/>
      <c r="EV50" s="232"/>
      <c r="EW50" s="232"/>
      <c r="EX50" s="232"/>
      <c r="EY50" s="232"/>
      <c r="EZ50" s="232"/>
      <c r="FA50" s="232"/>
      <c r="FB50" s="232"/>
      <c r="FC50" s="232"/>
      <c r="FD50" s="232"/>
      <c r="FE50" s="231"/>
      <c r="FF50" s="232"/>
      <c r="FG50" s="232"/>
      <c r="FH50" s="232"/>
      <c r="FI50" s="232"/>
      <c r="FJ50" s="232"/>
      <c r="FK50" s="232"/>
      <c r="FL50" s="232"/>
      <c r="FM50" s="232"/>
      <c r="FN50" s="232"/>
      <c r="FO50" s="232"/>
      <c r="FP50" s="232"/>
      <c r="FQ50" s="232"/>
      <c r="FR50" s="232"/>
      <c r="FS50" s="232"/>
      <c r="FT50" s="232"/>
      <c r="FU50" s="231"/>
      <c r="FV50" s="232"/>
      <c r="FW50" s="232"/>
      <c r="FX50" s="232"/>
      <c r="FY50" s="232"/>
      <c r="FZ50" s="232"/>
      <c r="GA50" s="232"/>
      <c r="GB50" s="232"/>
      <c r="GC50" s="232"/>
      <c r="GD50" s="232"/>
      <c r="GE50" s="232"/>
      <c r="GF50" s="232"/>
      <c r="GG50" s="232"/>
      <c r="GH50" s="232"/>
      <c r="GI50" s="232"/>
      <c r="GJ50" s="232"/>
      <c r="GK50" s="231"/>
      <c r="GL50" s="232"/>
      <c r="GM50" s="232"/>
      <c r="GN50" s="232"/>
      <c r="GO50" s="232"/>
      <c r="GP50" s="232"/>
      <c r="GQ50" s="232"/>
      <c r="GR50" s="232"/>
      <c r="GS50" s="232"/>
      <c r="GT50" s="232"/>
      <c r="GU50" s="232"/>
      <c r="GV50" s="232"/>
      <c r="GW50" s="232"/>
      <c r="GX50" s="232"/>
      <c r="GY50" s="232"/>
      <c r="GZ50" s="232"/>
      <c r="HA50" s="231"/>
      <c r="HB50" s="232"/>
      <c r="HC50" s="232"/>
      <c r="HD50" s="232"/>
      <c r="HE50" s="232"/>
      <c r="HF50" s="232"/>
      <c r="HG50" s="232"/>
      <c r="HH50" s="232"/>
      <c r="HI50" s="232"/>
      <c r="HJ50" s="232"/>
      <c r="HK50" s="232"/>
      <c r="HL50" s="232"/>
      <c r="HM50" s="232"/>
      <c r="HN50" s="232"/>
      <c r="HO50" s="232"/>
      <c r="HP50" s="232"/>
      <c r="HQ50" s="231"/>
      <c r="HR50" s="232"/>
      <c r="HS50" s="232"/>
      <c r="HT50" s="232"/>
      <c r="HU50" s="232"/>
      <c r="HV50" s="232"/>
      <c r="HW50" s="232"/>
      <c r="HX50" s="232"/>
      <c r="HY50" s="232"/>
      <c r="HZ50" s="232"/>
      <c r="IA50" s="232"/>
      <c r="IB50" s="232"/>
      <c r="IC50" s="232"/>
      <c r="ID50" s="232"/>
      <c r="IE50" s="232"/>
      <c r="IF50" s="232"/>
    </row>
    <row r="51" spans="1:240" s="12" customFormat="1" ht="24.75" customHeight="1">
      <c r="A51" s="235"/>
      <c r="B51" s="235"/>
      <c r="C51" s="235"/>
      <c r="D51" s="235"/>
      <c r="E51" s="235"/>
      <c r="F51" s="235"/>
      <c r="G51" s="235"/>
      <c r="H51" s="235"/>
      <c r="I51" s="235"/>
      <c r="J51" s="235"/>
      <c r="K51" s="235"/>
      <c r="L51" s="235"/>
      <c r="M51" s="235"/>
      <c r="N51" s="235"/>
      <c r="O51" s="235"/>
      <c r="P51" s="235"/>
      <c r="Q51" s="41"/>
      <c r="AG51" s="231"/>
      <c r="AH51" s="232"/>
      <c r="AI51" s="232"/>
      <c r="AJ51" s="232"/>
      <c r="AK51" s="232"/>
      <c r="AL51" s="232"/>
      <c r="AM51" s="232"/>
      <c r="AN51" s="232"/>
      <c r="AO51" s="232"/>
      <c r="AP51" s="232"/>
      <c r="AQ51" s="232"/>
      <c r="AR51" s="232"/>
      <c r="AS51" s="232"/>
      <c r="AT51" s="232"/>
      <c r="AU51" s="232"/>
      <c r="AV51" s="232"/>
      <c r="AW51" s="231"/>
      <c r="AX51" s="232"/>
      <c r="AY51" s="232"/>
      <c r="AZ51" s="232"/>
      <c r="BA51" s="232"/>
      <c r="BB51" s="232"/>
      <c r="BC51" s="232"/>
      <c r="BD51" s="232"/>
      <c r="BE51" s="232"/>
      <c r="BF51" s="232"/>
      <c r="BG51" s="232"/>
      <c r="BH51" s="232"/>
      <c r="BI51" s="232"/>
      <c r="BJ51" s="232"/>
      <c r="BK51" s="232"/>
      <c r="BL51" s="232"/>
      <c r="BM51" s="231"/>
      <c r="BN51" s="232"/>
      <c r="BO51" s="232"/>
      <c r="BP51" s="232"/>
      <c r="BQ51" s="232"/>
      <c r="BR51" s="232"/>
      <c r="BS51" s="232"/>
      <c r="BT51" s="232"/>
      <c r="BU51" s="232"/>
      <c r="BV51" s="232"/>
      <c r="BW51" s="232"/>
      <c r="BX51" s="232"/>
      <c r="BY51" s="232"/>
      <c r="BZ51" s="232"/>
      <c r="CA51" s="232"/>
      <c r="CB51" s="232"/>
      <c r="CC51" s="231"/>
      <c r="CD51" s="232"/>
      <c r="CE51" s="232"/>
      <c r="CF51" s="232"/>
      <c r="CG51" s="232"/>
      <c r="CH51" s="232"/>
      <c r="CI51" s="232"/>
      <c r="CJ51" s="232"/>
      <c r="CK51" s="232"/>
      <c r="CL51" s="232"/>
      <c r="CM51" s="232"/>
      <c r="CN51" s="232"/>
      <c r="CO51" s="232"/>
      <c r="CP51" s="232"/>
      <c r="CQ51" s="232"/>
      <c r="CR51" s="232"/>
      <c r="CS51" s="231"/>
      <c r="CT51" s="232"/>
      <c r="CU51" s="232"/>
      <c r="CV51" s="232"/>
      <c r="CW51" s="232"/>
      <c r="CX51" s="232"/>
      <c r="CY51" s="232"/>
      <c r="CZ51" s="232"/>
      <c r="DA51" s="232"/>
      <c r="DB51" s="232"/>
      <c r="DC51" s="232"/>
      <c r="DD51" s="232"/>
      <c r="DE51" s="232"/>
      <c r="DF51" s="232"/>
      <c r="DG51" s="232"/>
      <c r="DH51" s="232"/>
      <c r="DI51" s="231"/>
      <c r="DJ51" s="232"/>
      <c r="DK51" s="232"/>
      <c r="DL51" s="232"/>
      <c r="DM51" s="232"/>
      <c r="DN51" s="232"/>
      <c r="DO51" s="232"/>
      <c r="DP51" s="232"/>
      <c r="DQ51" s="232"/>
      <c r="DR51" s="232"/>
      <c r="DS51" s="232"/>
      <c r="DT51" s="232"/>
      <c r="DU51" s="232"/>
      <c r="DV51" s="232"/>
      <c r="DW51" s="232"/>
      <c r="DX51" s="232"/>
      <c r="DY51" s="231"/>
      <c r="DZ51" s="232"/>
      <c r="EA51" s="232"/>
      <c r="EB51" s="232"/>
      <c r="EC51" s="232"/>
      <c r="ED51" s="232"/>
      <c r="EE51" s="232"/>
      <c r="EF51" s="232"/>
      <c r="EG51" s="232"/>
      <c r="EH51" s="232"/>
      <c r="EI51" s="232"/>
      <c r="EJ51" s="232"/>
      <c r="EK51" s="232"/>
      <c r="EL51" s="232"/>
      <c r="EM51" s="232"/>
      <c r="EN51" s="232"/>
      <c r="EO51" s="231"/>
      <c r="EP51" s="232"/>
      <c r="EQ51" s="232"/>
      <c r="ER51" s="232"/>
      <c r="ES51" s="232"/>
      <c r="ET51" s="232"/>
      <c r="EU51" s="232"/>
      <c r="EV51" s="232"/>
      <c r="EW51" s="232"/>
      <c r="EX51" s="232"/>
      <c r="EY51" s="232"/>
      <c r="EZ51" s="232"/>
      <c r="FA51" s="232"/>
      <c r="FB51" s="232"/>
      <c r="FC51" s="232"/>
      <c r="FD51" s="232"/>
      <c r="FE51" s="231"/>
      <c r="FF51" s="232"/>
      <c r="FG51" s="232"/>
      <c r="FH51" s="232"/>
      <c r="FI51" s="232"/>
      <c r="FJ51" s="232"/>
      <c r="FK51" s="232"/>
      <c r="FL51" s="232"/>
      <c r="FM51" s="232"/>
      <c r="FN51" s="232"/>
      <c r="FO51" s="232"/>
      <c r="FP51" s="232"/>
      <c r="FQ51" s="232"/>
      <c r="FR51" s="232"/>
      <c r="FS51" s="232"/>
      <c r="FT51" s="232"/>
      <c r="FU51" s="231"/>
      <c r="FV51" s="232"/>
      <c r="FW51" s="232"/>
      <c r="FX51" s="232"/>
      <c r="FY51" s="232"/>
      <c r="FZ51" s="232"/>
      <c r="GA51" s="232"/>
      <c r="GB51" s="232"/>
      <c r="GC51" s="232"/>
      <c r="GD51" s="232"/>
      <c r="GE51" s="232"/>
      <c r="GF51" s="232"/>
      <c r="GG51" s="232"/>
      <c r="GH51" s="232"/>
      <c r="GI51" s="232"/>
      <c r="GJ51" s="232"/>
      <c r="GK51" s="231"/>
      <c r="GL51" s="232"/>
      <c r="GM51" s="232"/>
      <c r="GN51" s="232"/>
      <c r="GO51" s="232"/>
      <c r="GP51" s="232"/>
      <c r="GQ51" s="232"/>
      <c r="GR51" s="232"/>
      <c r="GS51" s="232"/>
      <c r="GT51" s="232"/>
      <c r="GU51" s="232"/>
      <c r="GV51" s="232"/>
      <c r="GW51" s="232"/>
      <c r="GX51" s="232"/>
      <c r="GY51" s="232"/>
      <c r="GZ51" s="232"/>
      <c r="HA51" s="231"/>
      <c r="HB51" s="232"/>
      <c r="HC51" s="232"/>
      <c r="HD51" s="232"/>
      <c r="HE51" s="232"/>
      <c r="HF51" s="232"/>
      <c r="HG51" s="232"/>
      <c r="HH51" s="232"/>
      <c r="HI51" s="232"/>
      <c r="HJ51" s="232"/>
      <c r="HK51" s="232"/>
      <c r="HL51" s="232"/>
      <c r="HM51" s="232"/>
      <c r="HN51" s="232"/>
      <c r="HO51" s="232"/>
      <c r="HP51" s="232"/>
      <c r="HQ51" s="231"/>
      <c r="HR51" s="232"/>
      <c r="HS51" s="232"/>
      <c r="HT51" s="232"/>
      <c r="HU51" s="232"/>
      <c r="HV51" s="232"/>
      <c r="HW51" s="232"/>
      <c r="HX51" s="232"/>
      <c r="HY51" s="232"/>
      <c r="HZ51" s="232"/>
      <c r="IA51" s="232"/>
      <c r="IB51" s="232"/>
      <c r="IC51" s="232"/>
      <c r="ID51" s="232"/>
      <c r="IE51" s="232"/>
      <c r="IF51" s="232"/>
    </row>
    <row r="52" spans="1:240" s="12" customFormat="1" ht="24.75" customHeight="1">
      <c r="A52" s="231"/>
      <c r="B52" s="233"/>
      <c r="C52" s="233"/>
      <c r="D52" s="233"/>
      <c r="E52" s="233"/>
      <c r="F52" s="233"/>
      <c r="G52" s="233"/>
      <c r="H52" s="233"/>
      <c r="I52" s="233"/>
      <c r="J52" s="233"/>
      <c r="K52" s="233"/>
      <c r="L52" s="233"/>
      <c r="M52" s="233"/>
      <c r="N52" s="233"/>
      <c r="O52" s="233"/>
      <c r="P52" s="233"/>
    </row>
    <row r="53" spans="1:240" s="12" customFormat="1" ht="24.75" customHeight="1">
      <c r="A53" s="231"/>
      <c r="B53" s="233"/>
      <c r="C53" s="233"/>
      <c r="D53" s="233"/>
      <c r="E53" s="233"/>
      <c r="F53" s="233"/>
      <c r="G53" s="233"/>
      <c r="H53" s="233"/>
      <c r="I53" s="233"/>
      <c r="J53" s="233"/>
      <c r="K53" s="233"/>
      <c r="L53" s="233"/>
      <c r="M53" s="233"/>
      <c r="N53" s="233"/>
      <c r="O53" s="233"/>
      <c r="P53" s="233"/>
    </row>
    <row r="54" spans="1:240" s="12" customFormat="1" ht="24.75" customHeight="1"/>
    <row r="55" spans="1:240" ht="11.25" customHeight="1">
      <c r="A55" s="231"/>
      <c r="B55" s="233"/>
      <c r="C55" s="233"/>
      <c r="D55" s="233"/>
      <c r="E55" s="233"/>
      <c r="F55" s="233"/>
      <c r="G55" s="233"/>
      <c r="H55" s="233"/>
      <c r="I55" s="233"/>
      <c r="J55" s="233"/>
      <c r="K55" s="233"/>
      <c r="L55" s="233"/>
      <c r="M55" s="233"/>
      <c r="N55" s="233"/>
      <c r="O55" s="233"/>
      <c r="P55" s="233"/>
    </row>
    <row r="56" spans="1:240" ht="11.25" customHeight="1">
      <c r="B56" s="15"/>
      <c r="C56" s="15"/>
      <c r="D56" s="15"/>
      <c r="E56" s="15"/>
      <c r="F56" s="15"/>
      <c r="G56" s="15"/>
      <c r="H56" s="15"/>
      <c r="I56" s="15"/>
      <c r="J56" s="15"/>
      <c r="K56" s="15"/>
      <c r="L56" s="15"/>
      <c r="M56" s="15"/>
      <c r="N56" s="15"/>
      <c r="O56" s="15"/>
      <c r="P56" s="15"/>
    </row>
  </sheetData>
  <mergeCells count="35">
    <mergeCell ref="G7:L7"/>
    <mergeCell ref="A36:B36"/>
    <mergeCell ref="A38:B38"/>
    <mergeCell ref="AG50:AV50"/>
    <mergeCell ref="DI51:DX51"/>
    <mergeCell ref="CC50:CR50"/>
    <mergeCell ref="CS51:DH51"/>
    <mergeCell ref="DI50:DX50"/>
    <mergeCell ref="A49:N49"/>
    <mergeCell ref="A55:P55"/>
    <mergeCell ref="A48:P48"/>
    <mergeCell ref="A52:P52"/>
    <mergeCell ref="A53:P53"/>
    <mergeCell ref="AW50:BL50"/>
    <mergeCell ref="AG51:AV51"/>
    <mergeCell ref="AW51:BL51"/>
    <mergeCell ref="A51:P51"/>
    <mergeCell ref="HQ51:IF51"/>
    <mergeCell ref="HQ50:IF50"/>
    <mergeCell ref="FU50:GJ50"/>
    <mergeCell ref="GK50:GZ50"/>
    <mergeCell ref="HA50:HP50"/>
    <mergeCell ref="FU51:GJ51"/>
    <mergeCell ref="GK51:GZ51"/>
    <mergeCell ref="HA51:HP51"/>
    <mergeCell ref="FE50:FT50"/>
    <mergeCell ref="EO51:FD51"/>
    <mergeCell ref="FE51:FT51"/>
    <mergeCell ref="BM50:CB50"/>
    <mergeCell ref="BM51:CB51"/>
    <mergeCell ref="CC51:CR51"/>
    <mergeCell ref="EO50:FD50"/>
    <mergeCell ref="DY51:EN51"/>
    <mergeCell ref="CS50:DH50"/>
    <mergeCell ref="DY50:EN50"/>
  </mergeCells>
  <phoneticPr fontId="2" type="noConversion"/>
  <printOptions horizontalCentered="1"/>
  <pageMargins left="0" right="0" top="0.25" bottom="0.25" header="0.31" footer="0.3"/>
  <pageSetup scale="60" orientation="landscape"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C122"/>
  <sheetViews>
    <sheetView showGridLines="0" zoomScale="86"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63.3984375" style="72" customWidth="1"/>
    <col min="2" max="2" width="1.59765625" style="72" customWidth="1"/>
    <col min="3" max="4" width="11.59765625" style="72" hidden="1" customWidth="1" outlineLevel="1"/>
    <col min="5" max="6" width="11.59765625" style="67" hidden="1" customWidth="1" outlineLevel="1"/>
    <col min="7" max="7" width="1.59765625" style="67" customWidth="1" collapsed="1"/>
    <col min="8" max="11" width="11.59765625" style="67" hidden="1" customWidth="1" outlineLevel="1"/>
    <col min="12" max="12" width="1.59765625" style="67" customWidth="1" collapsed="1"/>
    <col min="13" max="13" width="11.796875" style="67" hidden="1" customWidth="1" outlineLevel="1"/>
    <col min="14" max="16" width="11.59765625" style="67" hidden="1" customWidth="1" outlineLevel="1"/>
    <col min="17" max="17" width="1.59765625" style="67" customWidth="1" collapsed="1"/>
    <col min="18" max="21" width="11.796875" style="67" hidden="1" customWidth="1" outlineLevel="1"/>
    <col min="22" max="22" width="1.796875" style="67" customWidth="1" collapsed="1"/>
    <col min="23" max="26" width="11.796875" style="67" hidden="1" customWidth="1" outlineLevel="1"/>
    <col min="27" max="27" width="1.19921875" style="67" customWidth="1" collapsed="1"/>
    <col min="28" max="31" width="11.796875" style="67" hidden="1" customWidth="1" outlineLevel="1"/>
    <col min="32" max="32" width="2" style="67" customWidth="1" collapsed="1"/>
    <col min="33" max="36" width="11.796875" style="67" customWidth="1"/>
    <col min="37" max="37" width="3.59765625" style="67" customWidth="1"/>
    <col min="38" max="38" width="11.796875" style="67" customWidth="1"/>
    <col min="39" max="39" width="11.796875" style="108" customWidth="1"/>
    <col min="40" max="40" width="3.59765625" style="67" customWidth="1"/>
    <col min="41" max="42" width="11.59765625" style="67" hidden="1" customWidth="1" outlineLevel="1"/>
    <col min="43" max="43" width="11.59765625" style="72" hidden="1" customWidth="1" outlineLevel="1"/>
    <col min="44" max="44" width="11.796875" style="72" hidden="1" customWidth="1" outlineLevel="1"/>
    <col min="45" max="46" width="11.796875" style="72" hidden="1" customWidth="1" outlineLevel="1" collapsed="1"/>
    <col min="47" max="47" width="11.796875" style="72" customWidth="1" collapsed="1"/>
    <col min="48" max="48" width="11.796875" style="72" customWidth="1"/>
    <col min="49" max="49" width="10.3984375" style="67" customWidth="1"/>
    <col min="50" max="50" width="13.796875" style="72" customWidth="1"/>
    <col min="51" max="53" width="9" style="72"/>
    <col min="54" max="54" width="12.59765625" style="72" customWidth="1"/>
    <col min="55" max="16384" width="9" style="72"/>
  </cols>
  <sheetData>
    <row r="2" spans="1:55" ht="18">
      <c r="C2" s="225" t="s">
        <v>98</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69"/>
      <c r="AO2" s="69"/>
      <c r="AP2" s="69"/>
      <c r="AQ2" s="76"/>
      <c r="AR2" s="76"/>
      <c r="AS2" s="76"/>
      <c r="AT2" s="76"/>
      <c r="AU2" s="76"/>
      <c r="AV2" s="76"/>
    </row>
    <row r="3" spans="1:55" ht="18">
      <c r="C3" s="225" t="s">
        <v>102</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68"/>
      <c r="AO3" s="68"/>
      <c r="AP3" s="68"/>
      <c r="AQ3" s="68"/>
      <c r="AR3" s="68"/>
      <c r="AS3" s="68"/>
      <c r="AT3" s="68"/>
      <c r="AU3" s="68"/>
      <c r="AV3" s="68"/>
      <c r="AW3" s="84"/>
      <c r="AX3" s="70"/>
      <c r="AY3" s="70"/>
      <c r="AZ3" s="70"/>
    </row>
    <row r="4" spans="1:55" ht="13" customHeight="1">
      <c r="C4" s="239" t="s">
        <v>112</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66"/>
      <c r="AO4" s="66"/>
      <c r="AP4" s="66"/>
      <c r="AQ4" s="66"/>
      <c r="AR4" s="66"/>
      <c r="AS4" s="66"/>
      <c r="AT4" s="66"/>
      <c r="AU4" s="66"/>
      <c r="AV4" s="66"/>
      <c r="AW4" s="85"/>
      <c r="AX4" s="66"/>
      <c r="AY4" s="66"/>
      <c r="AZ4" s="66"/>
    </row>
    <row r="5" spans="1:55">
      <c r="A5" s="71"/>
      <c r="B5" s="71"/>
      <c r="C5" s="71"/>
      <c r="D5" s="71"/>
      <c r="E5" s="71"/>
      <c r="F5" s="71"/>
      <c r="G5" s="71"/>
      <c r="H5" s="71"/>
      <c r="I5" s="71"/>
      <c r="J5" s="71"/>
      <c r="K5" s="71"/>
      <c r="L5" s="103"/>
      <c r="M5" s="119"/>
      <c r="N5" s="103"/>
      <c r="O5" s="123"/>
      <c r="P5" s="144"/>
      <c r="Q5" s="161"/>
      <c r="R5" s="161"/>
      <c r="S5" s="170"/>
      <c r="T5" s="163"/>
      <c r="U5" s="174"/>
      <c r="V5" s="176"/>
      <c r="W5" s="180"/>
      <c r="X5" s="176"/>
      <c r="Y5" s="182"/>
      <c r="Z5" s="183"/>
      <c r="AA5" s="186"/>
      <c r="AB5" s="188"/>
      <c r="AC5" s="190"/>
      <c r="AD5" s="190"/>
      <c r="AE5" s="191"/>
      <c r="AF5" s="194"/>
      <c r="AG5" s="193"/>
      <c r="AH5" s="195"/>
      <c r="AI5" s="198"/>
      <c r="AJ5" s="200"/>
      <c r="AK5" s="71"/>
      <c r="AL5" s="206"/>
      <c r="AM5" s="214"/>
      <c r="AN5" s="206"/>
      <c r="AO5" s="71"/>
      <c r="AP5" s="71"/>
      <c r="AQ5" s="71"/>
      <c r="AR5" s="144"/>
      <c r="AS5" s="174"/>
      <c r="AT5" s="183"/>
      <c r="AU5" s="191"/>
      <c r="AV5" s="200"/>
      <c r="AW5" s="86"/>
      <c r="AX5" s="71"/>
      <c r="AY5" s="71"/>
      <c r="AZ5" s="71"/>
    </row>
    <row r="6" spans="1:55">
      <c r="C6" s="221" t="s">
        <v>106</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3"/>
      <c r="AN6" s="72"/>
      <c r="AO6" s="221" t="s">
        <v>107</v>
      </c>
      <c r="AP6" s="222"/>
      <c r="AQ6" s="222"/>
      <c r="AR6" s="222"/>
      <c r="AS6" s="222"/>
      <c r="AT6" s="222"/>
      <c r="AU6" s="222"/>
      <c r="AV6" s="223"/>
    </row>
    <row r="7" spans="1:55" ht="13" customHeight="1">
      <c r="C7" s="224" t="s">
        <v>113</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90"/>
      <c r="AO7" s="224" t="s">
        <v>114</v>
      </c>
      <c r="AP7" s="224"/>
      <c r="AQ7" s="224"/>
      <c r="AR7" s="224"/>
      <c r="AS7" s="224"/>
      <c r="AT7" s="224"/>
      <c r="AU7" s="224"/>
      <c r="AV7" s="224"/>
    </row>
    <row r="8" spans="1:55">
      <c r="C8" s="91" t="s">
        <v>20</v>
      </c>
      <c r="D8" s="91" t="s">
        <v>21</v>
      </c>
      <c r="E8" s="91" t="s">
        <v>22</v>
      </c>
      <c r="F8" s="91" t="s">
        <v>23</v>
      </c>
      <c r="G8" s="114"/>
      <c r="H8" s="91" t="s">
        <v>25</v>
      </c>
      <c r="I8" s="91" t="s">
        <v>26</v>
      </c>
      <c r="J8" s="91" t="s">
        <v>50</v>
      </c>
      <c r="K8" s="91" t="s">
        <v>105</v>
      </c>
      <c r="L8" s="114"/>
      <c r="M8" s="91" t="s">
        <v>134</v>
      </c>
      <c r="N8" s="91" t="s">
        <v>138</v>
      </c>
      <c r="O8" s="91" t="s">
        <v>140</v>
      </c>
      <c r="P8" s="91" t="s">
        <v>148</v>
      </c>
      <c r="Q8" s="114"/>
      <c r="R8" s="91" t="s">
        <v>156</v>
      </c>
      <c r="S8" s="91" t="s">
        <v>158</v>
      </c>
      <c r="T8" s="91" t="s">
        <v>176</v>
      </c>
      <c r="U8" s="91" t="s">
        <v>179</v>
      </c>
      <c r="V8" s="114"/>
      <c r="W8" s="91" t="s">
        <v>183</v>
      </c>
      <c r="X8" s="91" t="s">
        <v>192</v>
      </c>
      <c r="Y8" s="91" t="s">
        <v>193</v>
      </c>
      <c r="Z8" s="91" t="s">
        <v>195</v>
      </c>
      <c r="AA8" s="114"/>
      <c r="AB8" s="91" t="s">
        <v>201</v>
      </c>
      <c r="AC8" s="91" t="s">
        <v>204</v>
      </c>
      <c r="AD8" s="91" t="s">
        <v>206</v>
      </c>
      <c r="AE8" s="91" t="s">
        <v>209</v>
      </c>
      <c r="AF8" s="114"/>
      <c r="AG8" s="91" t="s">
        <v>217</v>
      </c>
      <c r="AH8" s="91" t="s">
        <v>219</v>
      </c>
      <c r="AI8" s="91" t="s">
        <v>222</v>
      </c>
      <c r="AJ8" s="91" t="s">
        <v>225</v>
      </c>
      <c r="AK8" s="71"/>
      <c r="AL8" s="91" t="s">
        <v>227</v>
      </c>
      <c r="AM8" s="210" t="s">
        <v>230</v>
      </c>
      <c r="AN8" s="206"/>
      <c r="AO8" s="91" t="s">
        <v>19</v>
      </c>
      <c r="AP8" s="91" t="s">
        <v>24</v>
      </c>
      <c r="AQ8" s="91" t="s">
        <v>108</v>
      </c>
      <c r="AR8" s="91" t="s">
        <v>149</v>
      </c>
      <c r="AS8" s="91" t="s">
        <v>180</v>
      </c>
      <c r="AT8" s="91" t="s">
        <v>196</v>
      </c>
      <c r="AU8" s="91" t="s">
        <v>208</v>
      </c>
      <c r="AV8" s="91" t="s">
        <v>224</v>
      </c>
    </row>
    <row r="9" spans="1:55" ht="14">
      <c r="A9" s="92" t="s">
        <v>70</v>
      </c>
      <c r="B9" s="92"/>
      <c r="G9" s="83"/>
      <c r="AP9" s="72"/>
      <c r="AX9" s="211"/>
      <c r="AY9" s="211"/>
      <c r="AZ9" s="211"/>
    </row>
    <row r="10" spans="1:55" ht="14">
      <c r="A10" s="66" t="s">
        <v>143</v>
      </c>
      <c r="B10" s="66"/>
      <c r="C10" s="93">
        <f>'2. Income Stmt'!C32</f>
        <v>-51.299999999999905</v>
      </c>
      <c r="D10" s="93">
        <f>'2. Income Stmt'!D32</f>
        <v>-37.6</v>
      </c>
      <c r="E10" s="93">
        <f>'2. Income Stmt'!E32</f>
        <v>-27.599999999999909</v>
      </c>
      <c r="F10" s="93">
        <f>'2. Income Stmt'!F32</f>
        <v>-26.800000000000047</v>
      </c>
      <c r="G10" s="94"/>
      <c r="H10" s="93">
        <f>'2. Income Stmt'!H32</f>
        <v>-43.4</v>
      </c>
      <c r="I10" s="93">
        <f>'2. Income Stmt'!I32</f>
        <v>-71.299999999999969</v>
      </c>
      <c r="J10" s="93">
        <f>'2. Income Stmt'!J32</f>
        <v>-5.2000000000000224</v>
      </c>
      <c r="K10" s="93">
        <f>'2. Income Stmt'!K32</f>
        <v>-0.49999999999995437</v>
      </c>
      <c r="L10" s="93"/>
      <c r="M10" s="93">
        <v>-18.299999999999986</v>
      </c>
      <c r="N10" s="93">
        <f>'2. Income Stmt'!N32</f>
        <v>-11.100000000000069</v>
      </c>
      <c r="O10" s="93">
        <f>'2. Income Stmt'!O32</f>
        <v>8.2999999999999883</v>
      </c>
      <c r="P10" s="93">
        <f>'2. Income Stmt'!P32</f>
        <v>-0.80000000000002225</v>
      </c>
      <c r="Q10" s="93"/>
      <c r="R10" s="93">
        <f>'2. Income Stmt'!R32</f>
        <v>-3.0999999999999543</v>
      </c>
      <c r="S10" s="93">
        <f>'2. Income Stmt'!S34</f>
        <v>18.100000000000019</v>
      </c>
      <c r="T10" s="93">
        <f>'2. Income Stmt'!T34</f>
        <v>29.999999999999908</v>
      </c>
      <c r="U10" s="93">
        <v>94.8</v>
      </c>
      <c r="V10" s="93"/>
      <c r="W10" s="93">
        <v>4.2</v>
      </c>
      <c r="X10" s="93">
        <v>20.2</v>
      </c>
      <c r="Y10" s="93">
        <f>'2. Income Stmt'!Y34</f>
        <v>14.1</v>
      </c>
      <c r="Z10" s="187">
        <f>AT10-SUM(W10:Y10)</f>
        <v>43.5</v>
      </c>
      <c r="AA10" s="187"/>
      <c r="AB10" s="187">
        <v>13.2</v>
      </c>
      <c r="AC10" s="187">
        <f>'2. Income Stmt'!AC34</f>
        <v>-12.69999999999991</v>
      </c>
      <c r="AD10" s="187">
        <f>'2. Income Stmt'!AD34</f>
        <v>76.799999999999969</v>
      </c>
      <c r="AE10" s="187">
        <f>AU10-SUM(AB10:AD10)</f>
        <v>61.099999999999952</v>
      </c>
      <c r="AF10" s="187"/>
      <c r="AG10" s="187">
        <v>43.2</v>
      </c>
      <c r="AH10" s="187">
        <v>-673.2</v>
      </c>
      <c r="AI10" s="187">
        <v>65.100000000000023</v>
      </c>
      <c r="AJ10" s="187">
        <v>70.8</v>
      </c>
      <c r="AK10" s="93"/>
      <c r="AL10" s="187">
        <v>10.8</v>
      </c>
      <c r="AM10" s="215">
        <v>46.9</v>
      </c>
      <c r="AN10" s="93"/>
      <c r="AO10" s="94">
        <f>'2. Income Stmt'!AO32</f>
        <v>-199.89999999999986</v>
      </c>
      <c r="AP10" s="93">
        <f>'2. Income Stmt'!AP32</f>
        <v>-143.3000000000003</v>
      </c>
      <c r="AQ10" s="93">
        <f>'2. Income Stmt'!AQ32</f>
        <v>-120.39999999999976</v>
      </c>
      <c r="AR10" s="93">
        <f>'2. Income Stmt'!AR32</f>
        <v>-21.900000000000087</v>
      </c>
      <c r="AS10" s="93">
        <f>SUM(R10:U10)</f>
        <v>139.79999999999995</v>
      </c>
      <c r="AT10" s="93">
        <v>82</v>
      </c>
      <c r="AU10" s="93">
        <v>138.4</v>
      </c>
      <c r="AV10" s="93">
        <f>SUM(AG10:AJ10)</f>
        <v>-494.09999999999997</v>
      </c>
      <c r="AX10" s="212"/>
      <c r="AY10" s="212"/>
      <c r="AZ10" s="212"/>
      <c r="BA10" s="75"/>
      <c r="BB10" s="73"/>
      <c r="BC10" s="73"/>
    </row>
    <row r="11" spans="1:55" ht="28">
      <c r="A11" s="66" t="s">
        <v>146</v>
      </c>
      <c r="B11" s="66"/>
      <c r="C11" s="67">
        <v>0</v>
      </c>
      <c r="D11" s="67">
        <v>0</v>
      </c>
      <c r="E11" s="67">
        <v>0</v>
      </c>
      <c r="G11" s="83"/>
      <c r="I11" s="67">
        <v>0</v>
      </c>
      <c r="J11" s="67">
        <v>0</v>
      </c>
      <c r="AK11" s="93"/>
      <c r="AN11" s="93"/>
      <c r="AQ11" s="67"/>
      <c r="AR11" s="67"/>
      <c r="AS11" s="67"/>
      <c r="AT11" s="67"/>
      <c r="AU11" s="67"/>
      <c r="AV11" s="67"/>
      <c r="AX11" s="212"/>
      <c r="AY11" s="211"/>
      <c r="AZ11" s="211"/>
      <c r="BB11" s="73"/>
      <c r="BC11" s="73"/>
    </row>
    <row r="12" spans="1:55" ht="14">
      <c r="A12" s="66" t="s">
        <v>18</v>
      </c>
      <c r="B12" s="66"/>
      <c r="C12" s="67">
        <f>'2. Income Stmt'!C23</f>
        <v>36.700000000000003</v>
      </c>
      <c r="D12" s="67">
        <f>'2. Income Stmt'!D23</f>
        <v>37.799999999999997</v>
      </c>
      <c r="E12" s="67">
        <f>'2. Income Stmt'!E23</f>
        <v>38.5</v>
      </c>
      <c r="F12" s="67">
        <f>'2. Income Stmt'!F23</f>
        <v>39.800000000000011</v>
      </c>
      <c r="G12" s="83"/>
      <c r="H12" s="67">
        <f>'2. Income Stmt'!H23</f>
        <v>37.4</v>
      </c>
      <c r="I12" s="67">
        <f>'2. Income Stmt'!I23</f>
        <v>38.4</v>
      </c>
      <c r="J12" s="67">
        <f>'2. Income Stmt'!J23</f>
        <v>40.6</v>
      </c>
      <c r="K12" s="67">
        <f>'2. Income Stmt'!K23</f>
        <v>42.4</v>
      </c>
      <c r="M12" s="67">
        <v>38.9</v>
      </c>
      <c r="N12" s="67">
        <f>'2. Income Stmt'!N23</f>
        <v>39.299999999999997</v>
      </c>
      <c r="O12" s="67">
        <f>'2. Income Stmt'!O23</f>
        <v>43.4</v>
      </c>
      <c r="P12" s="67">
        <f>'2. Income Stmt'!P23</f>
        <v>38.5</v>
      </c>
      <c r="R12" s="67">
        <f>'2. Income Stmt'!R23</f>
        <v>31.6</v>
      </c>
      <c r="S12" s="67">
        <f>'2. Income Stmt'!S23</f>
        <v>55.5</v>
      </c>
      <c r="T12" s="67">
        <f>'2. Income Stmt'!T23</f>
        <v>60</v>
      </c>
      <c r="U12" s="67">
        <v>58.7</v>
      </c>
      <c r="W12" s="67">
        <v>57.8</v>
      </c>
      <c r="X12" s="67">
        <v>57</v>
      </c>
      <c r="Y12" s="67">
        <f>'2. Income Stmt'!Y23</f>
        <v>61.3</v>
      </c>
      <c r="Z12" s="67">
        <f>AT12-SUM(W12:Y12)</f>
        <v>58</v>
      </c>
      <c r="AB12" s="67">
        <v>57.2</v>
      </c>
      <c r="AC12" s="67">
        <f>'2. Income Stmt'!AC23</f>
        <v>53.8</v>
      </c>
      <c r="AD12" s="67">
        <f>'2. Income Stmt'!AD23</f>
        <v>49.9</v>
      </c>
      <c r="AE12" s="67">
        <f>AU12-SUM(AB12:AD12)</f>
        <v>48.799999999999983</v>
      </c>
      <c r="AG12" s="67">
        <v>52.2</v>
      </c>
      <c r="AH12" s="67">
        <v>48.399999999999991</v>
      </c>
      <c r="AI12" s="67">
        <v>50.700000000000017</v>
      </c>
      <c r="AJ12" s="67">
        <v>51.4</v>
      </c>
      <c r="AK12" s="93"/>
      <c r="AL12" s="67">
        <v>49</v>
      </c>
      <c r="AM12" s="108">
        <v>50</v>
      </c>
      <c r="AN12" s="93"/>
      <c r="AO12" s="67">
        <f>'2. Income Stmt'!AO23</f>
        <v>140.6</v>
      </c>
      <c r="AP12" s="67">
        <f>'2. Income Stmt'!AP23</f>
        <v>152.80000000000001</v>
      </c>
      <c r="AQ12" s="67">
        <f>'2. Income Stmt'!AQ23</f>
        <v>158.80000000000001</v>
      </c>
      <c r="AR12" s="67">
        <f>'2. Income Stmt'!AR23</f>
        <v>160.1</v>
      </c>
      <c r="AS12" s="67">
        <f>SUM(R12:U12)</f>
        <v>205.8</v>
      </c>
      <c r="AT12" s="67">
        <v>234.1</v>
      </c>
      <c r="AU12" s="67">
        <v>209.7</v>
      </c>
      <c r="AV12" s="67">
        <f t="shared" ref="AV12:AV23" si="0">SUM(AG12:AJ12)</f>
        <v>202.70000000000002</v>
      </c>
      <c r="AX12" s="212"/>
      <c r="AY12" s="212"/>
      <c r="AZ12" s="212"/>
      <c r="BA12" s="75"/>
      <c r="BB12" s="73"/>
      <c r="BC12" s="73"/>
    </row>
    <row r="13" spans="1:55" ht="14">
      <c r="A13" s="66" t="s">
        <v>218</v>
      </c>
      <c r="B13" s="66"/>
      <c r="C13" s="67">
        <f>SUM('2. Income Stmt'!C50:C53)</f>
        <v>6.8</v>
      </c>
      <c r="D13" s="67">
        <f>SUM('2. Income Stmt'!D50:D53)</f>
        <v>6</v>
      </c>
      <c r="E13" s="67">
        <f>SUM('2. Income Stmt'!E50:E53)</f>
        <v>9.4</v>
      </c>
      <c r="F13" s="67">
        <f>SUM('2. Income Stmt'!F50:F53)</f>
        <v>7.9</v>
      </c>
      <c r="G13" s="83"/>
      <c r="H13" s="67">
        <f>SUM('2. Income Stmt'!H50:H53)</f>
        <v>8.6999999999999993</v>
      </c>
      <c r="I13" s="67">
        <f>SUM('2. Income Stmt'!I50:I53)</f>
        <v>9.8000000000000007</v>
      </c>
      <c r="J13" s="67">
        <f>SUM('2. Income Stmt'!J50:J53)</f>
        <v>10</v>
      </c>
      <c r="K13" s="67">
        <f>SUM('2. Income Stmt'!K50:K53)</f>
        <v>11.900000000000002</v>
      </c>
      <c r="M13" s="67">
        <v>12</v>
      </c>
      <c r="N13" s="67">
        <f>SUM('2. Income Stmt'!N50:N53)</f>
        <v>10.8</v>
      </c>
      <c r="O13" s="67">
        <f>SUM('2. Income Stmt'!O50:O53)</f>
        <v>17.5</v>
      </c>
      <c r="P13" s="67">
        <f>SUM('2. Income Stmt'!P50:P53)</f>
        <v>16.5</v>
      </c>
      <c r="R13" s="67">
        <f>SUM('2. Income Stmt'!R50:R53)</f>
        <v>16.399999999999999</v>
      </c>
      <c r="S13" s="67">
        <f>SUM('2. Income Stmt'!S50:S53)</f>
        <v>19</v>
      </c>
      <c r="T13" s="67">
        <f>SUM('2. Income Stmt'!T50:T53)</f>
        <v>19.8</v>
      </c>
      <c r="U13" s="67">
        <v>21.2</v>
      </c>
      <c r="W13" s="67">
        <v>31.5</v>
      </c>
      <c r="X13" s="67">
        <v>28.200000000000003</v>
      </c>
      <c r="Y13" s="67">
        <v>30.599999999999994</v>
      </c>
      <c r="Z13" s="67">
        <f>AT13-SUM(W13:Y13)</f>
        <v>35.200000000000003</v>
      </c>
      <c r="AB13" s="67">
        <v>46.9</v>
      </c>
      <c r="AC13" s="67">
        <v>41.6</v>
      </c>
      <c r="AD13" s="67">
        <v>17.7</v>
      </c>
      <c r="AE13" s="67">
        <f>AU13-SUM(AB13:AD13)</f>
        <v>40.799999999999997</v>
      </c>
      <c r="AG13" s="67">
        <v>45.4</v>
      </c>
      <c r="AH13" s="67">
        <v>48.6</v>
      </c>
      <c r="AI13" s="67">
        <v>48.099999999999987</v>
      </c>
      <c r="AJ13" s="67">
        <v>49.4</v>
      </c>
      <c r="AK13" s="93"/>
      <c r="AL13" s="67">
        <v>52.6</v>
      </c>
      <c r="AM13" s="108">
        <v>51.4</v>
      </c>
      <c r="AN13" s="93"/>
      <c r="AO13" s="67">
        <f>SUM('2. Income Stmt'!AO50:AO53)</f>
        <v>16.399999999999999</v>
      </c>
      <c r="AP13" s="67">
        <f>SUM('2. Income Stmt'!AP50:AP53)</f>
        <v>30.1</v>
      </c>
      <c r="AQ13" s="67">
        <f>SUM('2. Income Stmt'!AQ50:AQ53)</f>
        <v>40.399999999999991</v>
      </c>
      <c r="AR13" s="67">
        <f>SUM('2. Income Stmt'!AR50:AR53)</f>
        <v>56.8</v>
      </c>
      <c r="AS13" s="67">
        <f>SUM(R13:U13)</f>
        <v>76.400000000000006</v>
      </c>
      <c r="AT13" s="67">
        <v>125.5</v>
      </c>
      <c r="AU13" s="67">
        <v>147</v>
      </c>
      <c r="AV13" s="67">
        <f t="shared" si="0"/>
        <v>191.5</v>
      </c>
      <c r="AX13" s="212"/>
      <c r="AY13" s="212"/>
      <c r="AZ13" s="212"/>
      <c r="BA13" s="75"/>
      <c r="BB13" s="73"/>
      <c r="BC13" s="73"/>
    </row>
    <row r="14" spans="1:55" ht="14">
      <c r="A14" s="66" t="s">
        <v>221</v>
      </c>
      <c r="B14" s="66"/>
      <c r="C14" s="67"/>
      <c r="D14" s="67"/>
      <c r="G14" s="83"/>
      <c r="AH14" s="67">
        <v>29</v>
      </c>
      <c r="AI14" s="67">
        <v>0</v>
      </c>
      <c r="AJ14" s="67">
        <v>0</v>
      </c>
      <c r="AK14" s="93"/>
      <c r="AL14" s="67">
        <v>0</v>
      </c>
      <c r="AM14" s="108">
        <v>0</v>
      </c>
      <c r="AN14" s="93"/>
      <c r="AQ14" s="67"/>
      <c r="AR14" s="67"/>
      <c r="AS14" s="67"/>
      <c r="AT14" s="67"/>
      <c r="AU14" s="67"/>
      <c r="AV14" s="67">
        <f t="shared" si="0"/>
        <v>29</v>
      </c>
      <c r="AX14" s="212"/>
      <c r="AY14" s="212"/>
      <c r="AZ14" s="212"/>
      <c r="BA14" s="75"/>
      <c r="BB14" s="73"/>
      <c r="BC14" s="73"/>
    </row>
    <row r="15" spans="1:55" ht="14">
      <c r="A15" s="66" t="s">
        <v>67</v>
      </c>
      <c r="B15" s="66"/>
      <c r="C15" s="67">
        <v>0</v>
      </c>
      <c r="D15" s="67">
        <v>0</v>
      </c>
      <c r="E15" s="67">
        <v>0</v>
      </c>
      <c r="F15" s="67">
        <v>0</v>
      </c>
      <c r="G15" s="83"/>
      <c r="H15" s="67">
        <v>0</v>
      </c>
      <c r="I15" s="67">
        <v>21.4</v>
      </c>
      <c r="J15" s="67">
        <v>0</v>
      </c>
      <c r="K15" s="67">
        <v>0</v>
      </c>
      <c r="M15" s="67">
        <v>0</v>
      </c>
      <c r="N15" s="67">
        <v>0</v>
      </c>
      <c r="O15" s="67">
        <v>0</v>
      </c>
      <c r="P15" s="67">
        <v>0</v>
      </c>
      <c r="R15" s="67">
        <v>1.7</v>
      </c>
      <c r="S15" s="67">
        <v>0</v>
      </c>
      <c r="T15" s="67">
        <f>7-R15</f>
        <v>5.3</v>
      </c>
      <c r="U15" s="67">
        <v>0.3</v>
      </c>
      <c r="W15" s="67">
        <v>0</v>
      </c>
      <c r="X15" s="67">
        <v>0</v>
      </c>
      <c r="Y15" s="67">
        <v>0</v>
      </c>
      <c r="Z15" s="67">
        <f>AT15-SUM(W15:Y15)</f>
        <v>0</v>
      </c>
      <c r="AB15" s="67">
        <v>0</v>
      </c>
      <c r="AC15" s="67">
        <v>14.5</v>
      </c>
      <c r="AD15" s="67">
        <v>0</v>
      </c>
      <c r="AE15" s="67">
        <f>AU15-SUM(AB15:AD15)</f>
        <v>0.30000000000000071</v>
      </c>
      <c r="AG15" s="67">
        <v>0</v>
      </c>
      <c r="AH15" s="67">
        <v>0</v>
      </c>
      <c r="AI15" s="67">
        <v>0</v>
      </c>
      <c r="AJ15" s="67">
        <v>0</v>
      </c>
      <c r="AK15" s="93"/>
      <c r="AL15" s="67">
        <v>0</v>
      </c>
      <c r="AM15" s="108">
        <v>0</v>
      </c>
      <c r="AN15" s="93"/>
      <c r="AO15" s="67">
        <v>0</v>
      </c>
      <c r="AP15" s="67">
        <v>0</v>
      </c>
      <c r="AQ15" s="67">
        <v>21.4</v>
      </c>
      <c r="AR15" s="67">
        <v>0</v>
      </c>
      <c r="AS15" s="67">
        <f>SUM(R15:U15)</f>
        <v>7.3</v>
      </c>
      <c r="AT15" s="67">
        <v>0</v>
      </c>
      <c r="AU15" s="67">
        <v>14.8</v>
      </c>
      <c r="AV15" s="67">
        <f t="shared" si="0"/>
        <v>0</v>
      </c>
      <c r="AX15" s="212"/>
      <c r="AY15" s="212"/>
      <c r="AZ15" s="212"/>
      <c r="BA15" s="75"/>
      <c r="BB15" s="73"/>
      <c r="BC15" s="73"/>
    </row>
    <row r="16" spans="1:55" ht="14">
      <c r="A16" s="66" t="s">
        <v>198</v>
      </c>
      <c r="B16" s="66"/>
      <c r="C16" s="67">
        <v>0</v>
      </c>
      <c r="D16" s="67">
        <v>0</v>
      </c>
      <c r="E16" s="67">
        <v>0</v>
      </c>
      <c r="F16" s="67">
        <v>0</v>
      </c>
      <c r="G16" s="83">
        <v>0</v>
      </c>
      <c r="H16" s="67">
        <v>0</v>
      </c>
      <c r="I16" s="67">
        <v>0</v>
      </c>
      <c r="J16" s="67">
        <v>0</v>
      </c>
      <c r="K16" s="67">
        <v>0</v>
      </c>
      <c r="L16" s="67">
        <v>0</v>
      </c>
      <c r="M16" s="67">
        <v>0</v>
      </c>
      <c r="N16" s="67">
        <v>0</v>
      </c>
      <c r="O16" s="67">
        <v>0</v>
      </c>
      <c r="P16" s="67">
        <v>0</v>
      </c>
      <c r="Q16" s="67">
        <v>0</v>
      </c>
      <c r="R16" s="67">
        <v>0</v>
      </c>
      <c r="S16" s="67">
        <v>0</v>
      </c>
      <c r="T16" s="67">
        <v>-36.700000000000003</v>
      </c>
      <c r="U16" s="67">
        <v>3.5</v>
      </c>
      <c r="W16" s="67">
        <v>0</v>
      </c>
      <c r="X16" s="67">
        <v>0</v>
      </c>
      <c r="Z16" s="67">
        <f>AT16-SUM(W16:Y16)</f>
        <v>0</v>
      </c>
      <c r="AB16" s="67">
        <v>0</v>
      </c>
      <c r="AC16" s="67">
        <v>0</v>
      </c>
      <c r="AD16" s="67">
        <v>0</v>
      </c>
      <c r="AE16" s="67">
        <f>AU16-SUM(AB16:AD16)</f>
        <v>0</v>
      </c>
      <c r="AG16" s="67">
        <v>0</v>
      </c>
      <c r="AH16" s="67">
        <v>0</v>
      </c>
      <c r="AI16" s="67">
        <v>0</v>
      </c>
      <c r="AJ16" s="67">
        <v>0</v>
      </c>
      <c r="AK16" s="93"/>
      <c r="AL16" s="67">
        <v>0</v>
      </c>
      <c r="AM16" s="108">
        <v>0</v>
      </c>
      <c r="AN16" s="93"/>
      <c r="AO16" s="67">
        <v>0</v>
      </c>
      <c r="AP16" s="67">
        <v>0</v>
      </c>
      <c r="AQ16" s="67">
        <v>0</v>
      </c>
      <c r="AR16" s="67">
        <v>0</v>
      </c>
      <c r="AS16" s="67">
        <f>SUM(R16:U16)</f>
        <v>-33.200000000000003</v>
      </c>
      <c r="AT16" s="67">
        <v>0</v>
      </c>
      <c r="AU16" s="67">
        <v>0</v>
      </c>
      <c r="AV16" s="67">
        <f t="shared" si="0"/>
        <v>0</v>
      </c>
      <c r="AX16" s="212"/>
      <c r="AY16" s="212"/>
      <c r="AZ16" s="212"/>
      <c r="BA16" s="75"/>
      <c r="BB16" s="73"/>
      <c r="BC16" s="73"/>
    </row>
    <row r="17" spans="1:55" ht="14">
      <c r="A17" s="66" t="s">
        <v>135</v>
      </c>
      <c r="B17" s="66"/>
      <c r="C17" s="67"/>
      <c r="D17" s="67"/>
      <c r="G17" s="83"/>
      <c r="AH17" s="67">
        <v>674.7</v>
      </c>
      <c r="AI17" s="67">
        <v>0</v>
      </c>
      <c r="AJ17" s="67">
        <v>0</v>
      </c>
      <c r="AK17" s="93"/>
      <c r="AL17" s="67">
        <v>0</v>
      </c>
      <c r="AM17" s="108">
        <v>0</v>
      </c>
      <c r="AN17" s="93"/>
      <c r="AQ17" s="67"/>
      <c r="AR17" s="67"/>
      <c r="AS17" s="67"/>
      <c r="AT17" s="67"/>
      <c r="AU17" s="67"/>
      <c r="AV17" s="67">
        <f t="shared" si="0"/>
        <v>674.7</v>
      </c>
      <c r="AX17" s="212"/>
      <c r="AY17" s="212"/>
      <c r="AZ17" s="212"/>
      <c r="BA17" s="75"/>
      <c r="BB17" s="73"/>
      <c r="BC17" s="73"/>
    </row>
    <row r="18" spans="1:55" ht="14">
      <c r="A18" s="66" t="s">
        <v>15</v>
      </c>
      <c r="B18" s="66"/>
      <c r="C18" s="67">
        <f>2.5+0.3</f>
        <v>2.8</v>
      </c>
      <c r="D18" s="67">
        <f>2.3+0.8</f>
        <v>3.0999999999999996</v>
      </c>
      <c r="E18" s="67">
        <f>2.1+0.2</f>
        <v>2.3000000000000003</v>
      </c>
      <c r="F18" s="67">
        <v>2.2000000000000002</v>
      </c>
      <c r="G18" s="83"/>
      <c r="H18" s="67">
        <f>2.1+0.2</f>
        <v>2.3000000000000003</v>
      </c>
      <c r="I18" s="67">
        <f>2+0.2</f>
        <v>2.2000000000000002</v>
      </c>
      <c r="J18" s="67">
        <f>1.8+1.2</f>
        <v>3</v>
      </c>
      <c r="K18" s="67">
        <f>2+2.4-0.2</f>
        <v>4.2</v>
      </c>
      <c r="M18" s="67">
        <v>8.3000000000000007</v>
      </c>
      <c r="N18" s="67">
        <v>8.6999999999999993</v>
      </c>
      <c r="O18" s="67">
        <f>5.4-2</f>
        <v>3.4000000000000004</v>
      </c>
      <c r="P18" s="67">
        <v>8.6999999999999993</v>
      </c>
      <c r="R18" s="67">
        <v>1</v>
      </c>
      <c r="S18" s="67">
        <f>-37-1.2</f>
        <v>-38.200000000000003</v>
      </c>
      <c r="T18" s="67">
        <f>-37-15.9+10.6-S18-R18</f>
        <v>-5.0999999999999943</v>
      </c>
      <c r="U18" s="67">
        <v>-102.10000000000001</v>
      </c>
      <c r="W18" s="67">
        <v>1.9</v>
      </c>
      <c r="X18" s="67">
        <v>-8.3000000000000007</v>
      </c>
      <c r="Y18" s="67">
        <f>-3.5+0.1</f>
        <v>-3.4</v>
      </c>
      <c r="Z18" s="67">
        <f>AT18-SUM(W18:Y18)</f>
        <v>-16.499999999999996</v>
      </c>
      <c r="AB18" s="67">
        <f>-8.7-8.5</f>
        <v>-17.2</v>
      </c>
      <c r="AC18" s="67">
        <f>11.4-8.7+17.2</f>
        <v>19.899999999999999</v>
      </c>
      <c r="AD18" s="67">
        <v>10</v>
      </c>
      <c r="AE18" s="67">
        <f>AU18-SUM(AB18:AD18)</f>
        <v>11.300000000000004</v>
      </c>
      <c r="AG18" s="67">
        <v>7.1</v>
      </c>
      <c r="AH18" s="67">
        <v>11.299999999999999</v>
      </c>
      <c r="AI18" s="67">
        <v>12.200000000000001</v>
      </c>
      <c r="AJ18" s="67">
        <v>2.1</v>
      </c>
      <c r="AK18" s="93"/>
      <c r="AL18" s="67">
        <v>6.4</v>
      </c>
      <c r="AM18" s="108">
        <v>10.4</v>
      </c>
      <c r="AN18" s="93"/>
      <c r="AO18" s="67">
        <f>9.3-0.1</f>
        <v>9.2000000000000011</v>
      </c>
      <c r="AP18" s="67">
        <f>9.1+1.3</f>
        <v>10.4</v>
      </c>
      <c r="AQ18" s="67">
        <f>SUM(H18:K18)</f>
        <v>11.7</v>
      </c>
      <c r="AR18" s="67">
        <f>SUM(M18:P18)</f>
        <v>29.099999999999998</v>
      </c>
      <c r="AS18" s="67">
        <f>SUM(R18:U18)</f>
        <v>-144.4</v>
      </c>
      <c r="AT18" s="67">
        <f>-14.9+14.8-26.2</f>
        <v>-26.299999999999997</v>
      </c>
      <c r="AU18" s="67">
        <f>32.7-8.7</f>
        <v>24.000000000000004</v>
      </c>
      <c r="AV18" s="67">
        <f t="shared" si="0"/>
        <v>32.700000000000003</v>
      </c>
      <c r="AX18" s="212"/>
      <c r="AY18" s="212"/>
      <c r="AZ18" s="212"/>
      <c r="BA18" s="75"/>
      <c r="BB18" s="73"/>
      <c r="BC18" s="73"/>
    </row>
    <row r="19" spans="1:55" ht="28">
      <c r="A19" s="66" t="s">
        <v>71</v>
      </c>
      <c r="B19" s="66"/>
      <c r="C19" s="67"/>
      <c r="D19" s="67"/>
      <c r="G19" s="83"/>
      <c r="AK19" s="93"/>
      <c r="AM19" s="67"/>
      <c r="AN19" s="93"/>
      <c r="AQ19" s="67"/>
      <c r="AR19" s="67"/>
      <c r="AS19" s="67"/>
      <c r="AT19" s="67"/>
      <c r="AU19" s="67"/>
      <c r="AV19" s="67">
        <f t="shared" si="0"/>
        <v>0</v>
      </c>
      <c r="AX19" s="212"/>
      <c r="AY19" s="212"/>
      <c r="AZ19" s="212"/>
      <c r="BA19" s="75"/>
      <c r="BB19" s="73"/>
      <c r="BC19" s="73"/>
    </row>
    <row r="20" spans="1:55" ht="14">
      <c r="A20" s="66" t="s">
        <v>31</v>
      </c>
      <c r="B20" s="66"/>
      <c r="C20" s="67">
        <v>-3.4</v>
      </c>
      <c r="D20" s="67">
        <v>0.79999999999999982</v>
      </c>
      <c r="E20" s="67">
        <v>0.90000000000000013</v>
      </c>
      <c r="F20" s="67">
        <v>-1.0000000000000002</v>
      </c>
      <c r="G20" s="83"/>
      <c r="H20" s="67">
        <v>-0.9</v>
      </c>
      <c r="I20" s="67">
        <v>-1.5</v>
      </c>
      <c r="J20" s="67">
        <v>-1</v>
      </c>
      <c r="K20" s="67">
        <v>2.5</v>
      </c>
      <c r="M20" s="67">
        <v>-6.7</v>
      </c>
      <c r="N20" s="67">
        <v>4.4000000000000004</v>
      </c>
      <c r="O20" s="67">
        <v>-0.6</v>
      </c>
      <c r="P20" s="67">
        <v>1</v>
      </c>
      <c r="R20" s="67">
        <v>1.9</v>
      </c>
      <c r="S20" s="67">
        <v>-2.1</v>
      </c>
      <c r="T20" s="67">
        <f>-4.1-S20-R20</f>
        <v>-3.8999999999999995</v>
      </c>
      <c r="U20" s="67">
        <v>-6</v>
      </c>
      <c r="W20" s="67">
        <v>-6.4</v>
      </c>
      <c r="X20" s="67">
        <v>-5.0999999999999996</v>
      </c>
      <c r="Y20" s="67">
        <f>9.5-W20-X20</f>
        <v>21</v>
      </c>
      <c r="Z20" s="67">
        <f>AT20-SUM(W20:Y20)</f>
        <v>-3.3</v>
      </c>
      <c r="AB20" s="67">
        <v>0.4</v>
      </c>
      <c r="AC20" s="67">
        <v>3.6</v>
      </c>
      <c r="AD20" s="67">
        <v>1.5</v>
      </c>
      <c r="AE20" s="67">
        <f>AU20-SUM(AB20:AD20)</f>
        <v>-4.4000000000000004</v>
      </c>
      <c r="AG20" s="67">
        <v>5.4</v>
      </c>
      <c r="AH20" s="67">
        <v>-5.1000000000000005</v>
      </c>
      <c r="AI20" s="67">
        <v>3.3000000000000003</v>
      </c>
      <c r="AJ20" s="67">
        <v>-6.3</v>
      </c>
      <c r="AK20" s="93"/>
      <c r="AL20" s="67">
        <v>2.1</v>
      </c>
      <c r="AM20" s="67">
        <v>-2.1</v>
      </c>
      <c r="AN20" s="93"/>
      <c r="AO20" s="67">
        <v>0.2</v>
      </c>
      <c r="AP20" s="67">
        <v>-2.7</v>
      </c>
      <c r="AQ20" s="67">
        <v>-0.9</v>
      </c>
      <c r="AR20" s="67">
        <f>SUM(M20:P20)</f>
        <v>-1.9</v>
      </c>
      <c r="AS20" s="67">
        <f>SUM(R20:U20)</f>
        <v>-10.1</v>
      </c>
      <c r="AT20" s="67">
        <v>6.2</v>
      </c>
      <c r="AU20" s="67">
        <v>1.1000000000000001</v>
      </c>
      <c r="AV20" s="67">
        <f t="shared" si="0"/>
        <v>-2.6999999999999997</v>
      </c>
      <c r="AX20" s="212"/>
      <c r="AY20" s="212"/>
      <c r="AZ20" s="212"/>
      <c r="BA20" s="75"/>
      <c r="BB20" s="73"/>
      <c r="BC20" s="73"/>
    </row>
    <row r="21" spans="1:55" ht="14">
      <c r="A21" s="66" t="s">
        <v>32</v>
      </c>
      <c r="B21" s="66"/>
      <c r="C21" s="67">
        <v>-19</v>
      </c>
      <c r="D21" s="67">
        <v>-3.1999999999999993</v>
      </c>
      <c r="E21" s="67">
        <v>-2.6000000000000014</v>
      </c>
      <c r="F21" s="67">
        <v>3.1999999999999993</v>
      </c>
      <c r="G21" s="83"/>
      <c r="H21" s="67">
        <v>-22</v>
      </c>
      <c r="I21" s="67">
        <v>-6.8999999999999986</v>
      </c>
      <c r="J21" s="67">
        <v>-3.6000000000000014</v>
      </c>
      <c r="K21" s="67">
        <v>1.8</v>
      </c>
      <c r="M21" s="67">
        <v>-19.600000000000001</v>
      </c>
      <c r="N21" s="67">
        <v>-5.0999999999999996</v>
      </c>
      <c r="O21" s="67">
        <v>-1.9</v>
      </c>
      <c r="P21" s="67">
        <v>3.8</v>
      </c>
      <c r="R21" s="67">
        <v>-22.8</v>
      </c>
      <c r="S21" s="67">
        <v>-4</v>
      </c>
      <c r="T21" s="67">
        <f>-24.3-S21-R21</f>
        <v>2.5</v>
      </c>
      <c r="U21" s="67">
        <v>10.8</v>
      </c>
      <c r="W21" s="67">
        <v>-17.399999999999999</v>
      </c>
      <c r="X21" s="67">
        <v>-9.2000000000000028</v>
      </c>
      <c r="Y21" s="67">
        <f>-23-W21-X21</f>
        <v>3.6000000000000014</v>
      </c>
      <c r="Z21" s="67">
        <f>AT21-SUM(W21:Y21)</f>
        <v>7.1</v>
      </c>
      <c r="AB21" s="67">
        <v>-20.2</v>
      </c>
      <c r="AC21" s="67">
        <v>-5.5</v>
      </c>
      <c r="AD21" s="67">
        <v>5.6</v>
      </c>
      <c r="AE21" s="67">
        <f>AU21-SUM(AB21:AD21)</f>
        <v>5.0000000000000018</v>
      </c>
      <c r="AG21" s="67">
        <v>-12.6</v>
      </c>
      <c r="AH21" s="67">
        <v>-4.9000000000000004</v>
      </c>
      <c r="AI21" s="67">
        <v>2.4000000000000004</v>
      </c>
      <c r="AJ21" s="67">
        <v>-2.4</v>
      </c>
      <c r="AK21" s="93"/>
      <c r="AL21" s="67">
        <v>-28.3</v>
      </c>
      <c r="AM21" s="67">
        <f>-0.2-12.1</f>
        <v>-12.299999999999999</v>
      </c>
      <c r="AN21" s="93"/>
      <c r="AO21" s="67">
        <v>-29.2</v>
      </c>
      <c r="AP21" s="67">
        <v>-21.6</v>
      </c>
      <c r="AQ21" s="67">
        <v>-30.7</v>
      </c>
      <c r="AR21" s="67">
        <f>SUM(M21:P21)</f>
        <v>-22.8</v>
      </c>
      <c r="AS21" s="67">
        <f>SUM(R21:U21)</f>
        <v>-13.5</v>
      </c>
      <c r="AT21" s="67">
        <v>-15.9</v>
      </c>
      <c r="AU21" s="67">
        <v>-15.1</v>
      </c>
      <c r="AV21" s="67">
        <f t="shared" si="0"/>
        <v>-17.5</v>
      </c>
      <c r="AX21" s="212"/>
      <c r="AY21" s="212"/>
      <c r="AZ21" s="212"/>
      <c r="BA21" s="75"/>
      <c r="BB21" s="73"/>
      <c r="BC21" s="73"/>
    </row>
    <row r="22" spans="1:55" ht="14">
      <c r="A22" s="66" t="s">
        <v>72</v>
      </c>
      <c r="B22" s="66"/>
      <c r="C22" s="67">
        <v>86.3</v>
      </c>
      <c r="D22" s="67">
        <v>43.100000000000009</v>
      </c>
      <c r="E22" s="67">
        <v>27.900000000000006</v>
      </c>
      <c r="F22" s="67">
        <v>9.0999999999999943</v>
      </c>
      <c r="G22" s="83"/>
      <c r="H22" s="67">
        <v>87</v>
      </c>
      <c r="I22" s="67">
        <v>45.099999999999994</v>
      </c>
      <c r="J22" s="67">
        <v>29.800000000000011</v>
      </c>
      <c r="K22" s="67">
        <v>3.7</v>
      </c>
      <c r="M22" s="67">
        <v>82.3</v>
      </c>
      <c r="N22" s="67">
        <v>47.7</v>
      </c>
      <c r="O22" s="67">
        <v>26.6</v>
      </c>
      <c r="P22" s="67">
        <v>4.2</v>
      </c>
      <c r="R22" s="67">
        <v>94.7</v>
      </c>
      <c r="S22" s="67">
        <v>67.2</v>
      </c>
      <c r="T22" s="67">
        <f>208.4-S22-R22</f>
        <v>46.499999999999986</v>
      </c>
      <c r="U22" s="67">
        <v>11.599999999999994</v>
      </c>
      <c r="W22" s="67">
        <v>103.1</v>
      </c>
      <c r="X22" s="67">
        <v>51.099999999999994</v>
      </c>
      <c r="Y22" s="67">
        <f>168.5-W22-X22</f>
        <v>14.300000000000011</v>
      </c>
      <c r="Z22" s="67">
        <f>AT22-SUM(W22:Y22)</f>
        <v>-10.5</v>
      </c>
      <c r="AB22" s="67">
        <v>105.2</v>
      </c>
      <c r="AC22" s="67">
        <v>52</v>
      </c>
      <c r="AD22" s="67">
        <v>25.6</v>
      </c>
      <c r="AE22" s="67">
        <f>AU22-SUM(AB22:AD22)</f>
        <v>-3.2999999999999829</v>
      </c>
      <c r="AG22" s="67">
        <v>96.5</v>
      </c>
      <c r="AH22" s="67">
        <v>58.599999999999994</v>
      </c>
      <c r="AI22" s="67">
        <v>45.400000000000006</v>
      </c>
      <c r="AJ22" s="67">
        <v>15.1</v>
      </c>
      <c r="AK22" s="93"/>
      <c r="AL22" s="67">
        <v>127.1</v>
      </c>
      <c r="AM22" s="67">
        <v>69.3</v>
      </c>
      <c r="AN22" s="93"/>
      <c r="AO22" s="67">
        <v>169.1</v>
      </c>
      <c r="AP22" s="67">
        <v>166.4</v>
      </c>
      <c r="AQ22" s="67">
        <v>165.6</v>
      </c>
      <c r="AR22" s="67">
        <f>SUM(M22:P22)</f>
        <v>160.79999999999998</v>
      </c>
      <c r="AS22" s="67">
        <f>SUM(R22:U22)</f>
        <v>219.99999999999997</v>
      </c>
      <c r="AT22" s="67">
        <v>158</v>
      </c>
      <c r="AU22" s="67">
        <v>179.5</v>
      </c>
      <c r="AV22" s="67">
        <f t="shared" si="0"/>
        <v>215.6</v>
      </c>
      <c r="AX22" s="212"/>
      <c r="AY22" s="212"/>
      <c r="AZ22" s="212"/>
      <c r="BA22" s="75"/>
      <c r="BB22" s="73"/>
      <c r="BC22" s="73"/>
    </row>
    <row r="23" spans="1:55" ht="14">
      <c r="A23" s="66" t="s">
        <v>73</v>
      </c>
      <c r="B23" s="66"/>
      <c r="C23" s="95">
        <v>-16.399999999999999</v>
      </c>
      <c r="D23" s="95">
        <v>12.099999999999998</v>
      </c>
      <c r="E23" s="95">
        <v>1.5</v>
      </c>
      <c r="F23" s="95">
        <v>-8.6999999999999993</v>
      </c>
      <c r="G23" s="83"/>
      <c r="H23" s="95">
        <v>3</v>
      </c>
      <c r="I23" s="95">
        <v>10.1</v>
      </c>
      <c r="J23" s="95">
        <v>5.0999999999999996</v>
      </c>
      <c r="K23" s="95">
        <f>-6+1.1</f>
        <v>-4.9000000000000004</v>
      </c>
      <c r="L23" s="83"/>
      <c r="M23" s="95">
        <v>8.4</v>
      </c>
      <c r="N23" s="95">
        <v>-2.2999999999999998</v>
      </c>
      <c r="O23" s="95">
        <f>1+2</f>
        <v>3</v>
      </c>
      <c r="P23" s="95">
        <v>17.2</v>
      </c>
      <c r="Q23" s="83"/>
      <c r="R23" s="95">
        <v>5.2</v>
      </c>
      <c r="S23" s="95">
        <v>-2.2000000000000002</v>
      </c>
      <c r="T23" s="95">
        <f>16-S23-R23</f>
        <v>13</v>
      </c>
      <c r="U23" s="95">
        <v>11.5</v>
      </c>
      <c r="V23" s="83"/>
      <c r="W23" s="95">
        <f>-9.5-16.8</f>
        <v>-26.3</v>
      </c>
      <c r="X23" s="95">
        <v>-5</v>
      </c>
      <c r="Y23" s="95">
        <f>(-22+3.2)-W23-X23</f>
        <v>12.5</v>
      </c>
      <c r="Z23" s="95">
        <f>AT23-SUM(W23:Y23)</f>
        <v>15</v>
      </c>
      <c r="AA23" s="83"/>
      <c r="AB23" s="95">
        <f>-17+31.2</f>
        <v>14.2</v>
      </c>
      <c r="AC23" s="95">
        <v>-5.9</v>
      </c>
      <c r="AD23" s="95">
        <v>13.1</v>
      </c>
      <c r="AE23" s="95">
        <f>AU23-SUM(AB23:AD23)</f>
        <v>2.6000000000000014</v>
      </c>
      <c r="AF23" s="83"/>
      <c r="AG23" s="95">
        <v>-3.9</v>
      </c>
      <c r="AH23" s="95">
        <v>-19.3</v>
      </c>
      <c r="AI23" s="95">
        <v>-29.900000000000002</v>
      </c>
      <c r="AJ23" s="95">
        <v>-14.2</v>
      </c>
      <c r="AK23" s="93"/>
      <c r="AL23" s="95">
        <v>1.6</v>
      </c>
      <c r="AM23" s="95">
        <f>-16.4+12.2</f>
        <v>-4.1999999999999993</v>
      </c>
      <c r="AN23" s="93"/>
      <c r="AO23" s="95">
        <f>0.5-2.4-11.7+1.5-3.5+1.9+60.6</f>
        <v>46.900000000000006</v>
      </c>
      <c r="AP23" s="95">
        <f>1.8+7-6.6-6.8+8.5-22.3+6.9</f>
        <v>-11.499999999999998</v>
      </c>
      <c r="AQ23" s="95">
        <v>13.3</v>
      </c>
      <c r="AR23" s="95">
        <f>SUM(M23:P23)</f>
        <v>26.3</v>
      </c>
      <c r="AS23" s="95">
        <f>SUM(R23:U23)</f>
        <v>27.5</v>
      </c>
      <c r="AT23" s="95">
        <f>-3.4+14.9-15.3</f>
        <v>-3.8000000000000007</v>
      </c>
      <c r="AU23" s="95">
        <f>-30+13.6+40.4</f>
        <v>24</v>
      </c>
      <c r="AV23" s="95">
        <f t="shared" si="0"/>
        <v>-67.3</v>
      </c>
      <c r="AX23" s="212"/>
      <c r="AY23" s="212"/>
      <c r="AZ23" s="212"/>
      <c r="BA23" s="75"/>
      <c r="BB23" s="73"/>
      <c r="BC23" s="73"/>
    </row>
    <row r="24" spans="1:55" s="104" customFormat="1" ht="14">
      <c r="A24" s="92" t="s">
        <v>74</v>
      </c>
      <c r="B24" s="92"/>
      <c r="C24" s="130">
        <f>SUM(C10:C23)</f>
        <v>42.500000000000092</v>
      </c>
      <c r="D24" s="130">
        <f>SUM(D10:D23)</f>
        <v>62.099999999999994</v>
      </c>
      <c r="E24" s="130">
        <f>SUM(E10:E23)</f>
        <v>50.300000000000097</v>
      </c>
      <c r="F24" s="130">
        <f>SUM(F10:F23)</f>
        <v>25.699999999999957</v>
      </c>
      <c r="G24" s="126"/>
      <c r="H24" s="130">
        <f>SUM(H10:H23)</f>
        <v>72.099999999999994</v>
      </c>
      <c r="I24" s="130">
        <f>SUM(I10:I23)</f>
        <v>47.300000000000026</v>
      </c>
      <c r="J24" s="130">
        <f>SUM(J10:J23)</f>
        <v>78.699999999999989</v>
      </c>
      <c r="K24" s="130">
        <f>SUM(K10:K23)</f>
        <v>61.100000000000044</v>
      </c>
      <c r="L24" s="130"/>
      <c r="M24" s="130">
        <f>SUM(M10:M23)</f>
        <v>105.30000000000001</v>
      </c>
      <c r="N24" s="130">
        <f>SUM(N10:N23)</f>
        <v>92.399999999999935</v>
      </c>
      <c r="O24" s="130">
        <f>SUM(O10:O23)</f>
        <v>99.699999999999989</v>
      </c>
      <c r="P24" s="130">
        <f>SUM(P10:P23)</f>
        <v>89.09999999999998</v>
      </c>
      <c r="Q24" s="130"/>
      <c r="R24" s="130">
        <f>SUM(R10:R23)</f>
        <v>126.60000000000005</v>
      </c>
      <c r="S24" s="130">
        <f>SUM(S10:S23)</f>
        <v>113.30000000000003</v>
      </c>
      <c r="T24" s="130">
        <f>SUM(T10:T23)</f>
        <v>131.39999999999989</v>
      </c>
      <c r="U24" s="130">
        <f>SUM(U10:U23)</f>
        <v>104.29999999999998</v>
      </c>
      <c r="V24" s="130"/>
      <c r="W24" s="130">
        <f>SUM(W10:W23)</f>
        <v>148.39999999999998</v>
      </c>
      <c r="X24" s="130">
        <f>SUM(X10:X23)</f>
        <v>128.9</v>
      </c>
      <c r="Y24" s="130">
        <f>SUM(Y10:Y23)</f>
        <v>154</v>
      </c>
      <c r="Z24" s="130">
        <f>SUM(Z10:Z23)</f>
        <v>128.5</v>
      </c>
      <c r="AA24" s="130"/>
      <c r="AB24" s="130">
        <f>SUM(AB10:AB23)</f>
        <v>199.7</v>
      </c>
      <c r="AC24" s="130">
        <f>SUM(AC10:AC23)</f>
        <v>161.30000000000007</v>
      </c>
      <c r="AD24" s="130">
        <f>SUM(AD10:AD23)</f>
        <v>200.19999999999993</v>
      </c>
      <c r="AE24" s="130">
        <f>SUM(AE10:AE23)</f>
        <v>162.19999999999996</v>
      </c>
      <c r="AF24" s="130"/>
      <c r="AG24" s="130">
        <f>SUM(AG10:AG23)</f>
        <v>233.3</v>
      </c>
      <c r="AH24" s="130">
        <f>SUM(AH10:AH23)</f>
        <v>168.1</v>
      </c>
      <c r="AI24" s="130">
        <f>SUM(AI10:AI23)</f>
        <v>197.30000000000004</v>
      </c>
      <c r="AJ24" s="130">
        <f>SUM(AJ10:AJ23)</f>
        <v>165.89999999999998</v>
      </c>
      <c r="AK24" s="141"/>
      <c r="AL24" s="130">
        <f>SUM(AL10:AL23)</f>
        <v>221.29999999999998</v>
      </c>
      <c r="AM24" s="130">
        <f>SUM(AM10:AM23)</f>
        <v>209.40000000000003</v>
      </c>
      <c r="AN24" s="141"/>
      <c r="AO24" s="130">
        <f t="shared" ref="AO24:AV24" si="1">SUM(AO10:AO23)</f>
        <v>153.30000000000013</v>
      </c>
      <c r="AP24" s="130">
        <f t="shared" si="1"/>
        <v>180.59999999999971</v>
      </c>
      <c r="AQ24" s="130">
        <f t="shared" si="1"/>
        <v>259.20000000000022</v>
      </c>
      <c r="AR24" s="130">
        <f t="shared" si="1"/>
        <v>386.49999999999983</v>
      </c>
      <c r="AS24" s="130">
        <f t="shared" si="1"/>
        <v>475.6</v>
      </c>
      <c r="AT24" s="130">
        <f t="shared" si="1"/>
        <v>559.80000000000007</v>
      </c>
      <c r="AU24" s="130">
        <f t="shared" si="1"/>
        <v>723.40000000000009</v>
      </c>
      <c r="AV24" s="130">
        <f t="shared" si="1"/>
        <v>764.60000000000014</v>
      </c>
      <c r="AW24" s="130"/>
      <c r="AX24" s="212"/>
      <c r="AY24" s="213"/>
      <c r="AZ24" s="213"/>
      <c r="BA24" s="132"/>
      <c r="BB24" s="133"/>
      <c r="BC24" s="133"/>
    </row>
    <row r="25" spans="1:55">
      <c r="A25" s="66"/>
      <c r="B25" s="66"/>
      <c r="C25" s="67"/>
      <c r="D25" s="67"/>
      <c r="G25" s="83"/>
      <c r="AK25" s="83"/>
      <c r="AM25" s="67"/>
      <c r="AN25" s="83"/>
      <c r="AQ25" s="67"/>
      <c r="AR25" s="67"/>
      <c r="AS25" s="67"/>
      <c r="AT25" s="67"/>
      <c r="AU25" s="67"/>
      <c r="AV25" s="67"/>
      <c r="AX25" s="212"/>
      <c r="AY25" s="212"/>
      <c r="AZ25" s="211"/>
      <c r="BB25" s="73"/>
      <c r="BC25" s="73"/>
    </row>
    <row r="26" spans="1:55" ht="14">
      <c r="A26" s="92" t="s">
        <v>75</v>
      </c>
      <c r="B26" s="92"/>
      <c r="C26" s="67"/>
      <c r="D26" s="67"/>
      <c r="G26" s="83"/>
      <c r="AK26" s="83"/>
      <c r="AM26" s="67"/>
      <c r="AN26" s="83"/>
      <c r="AQ26" s="67"/>
      <c r="AR26" s="67"/>
      <c r="AS26" s="67"/>
      <c r="AT26" s="67"/>
      <c r="AU26" s="67"/>
      <c r="AV26" s="67"/>
      <c r="AX26" s="212"/>
      <c r="AY26" s="212"/>
      <c r="AZ26" s="211"/>
      <c r="BB26" s="73"/>
      <c r="BC26" s="73"/>
    </row>
    <row r="27" spans="1:55" ht="14">
      <c r="A27" s="66" t="s">
        <v>76</v>
      </c>
      <c r="B27" s="66"/>
      <c r="C27" s="67">
        <v>0</v>
      </c>
      <c r="D27" s="67">
        <v>-3</v>
      </c>
      <c r="E27" s="67">
        <v>-3</v>
      </c>
      <c r="F27" s="67">
        <v>-3</v>
      </c>
      <c r="G27" s="83"/>
      <c r="H27" s="67">
        <v>-1.1000000000000001</v>
      </c>
      <c r="I27" s="67">
        <v>-5.4</v>
      </c>
      <c r="J27" s="67">
        <v>-0.79999999999999982</v>
      </c>
      <c r="K27" s="67">
        <f>-0.1+0.1</f>
        <v>0</v>
      </c>
      <c r="M27" s="67">
        <v>-3.9</v>
      </c>
      <c r="N27" s="67">
        <v>-6.6</v>
      </c>
      <c r="O27" s="67">
        <v>0</v>
      </c>
      <c r="P27" s="67">
        <v>0</v>
      </c>
      <c r="R27" s="67">
        <v>-6.4</v>
      </c>
      <c r="S27" s="67">
        <v>0</v>
      </c>
      <c r="T27" s="67">
        <f>-16.3-S27-R27</f>
        <v>-9.9</v>
      </c>
      <c r="U27" s="67">
        <v>-12</v>
      </c>
      <c r="W27" s="67">
        <v>-6.9</v>
      </c>
      <c r="X27" s="67">
        <v>0</v>
      </c>
      <c r="Y27" s="67">
        <f>-6.9-W27-X27</f>
        <v>0</v>
      </c>
      <c r="Z27" s="67">
        <f t="shared" ref="Z27:Z33" si="2">AT27-SUM(W27:Y27)</f>
        <v>-17.899999999999999</v>
      </c>
      <c r="AB27" s="67">
        <v>-17.899999999999999</v>
      </c>
      <c r="AC27" s="67">
        <v>-22.700000000000003</v>
      </c>
      <c r="AD27" s="67">
        <v>-23.5</v>
      </c>
      <c r="AE27" s="67">
        <f t="shared" ref="AE27:AE33" si="3">AU27-SUM(AB27:AD27)</f>
        <v>0</v>
      </c>
      <c r="AG27" s="67">
        <v>0</v>
      </c>
      <c r="AH27" s="67">
        <v>0</v>
      </c>
      <c r="AI27" s="67">
        <v>0</v>
      </c>
      <c r="AJ27" s="67">
        <v>0</v>
      </c>
      <c r="AK27" s="83"/>
      <c r="AL27" s="67">
        <v>0</v>
      </c>
      <c r="AM27" s="67">
        <v>0</v>
      </c>
      <c r="AN27" s="83"/>
      <c r="AO27" s="67">
        <v>-12.7</v>
      </c>
      <c r="AP27" s="67">
        <v>-9</v>
      </c>
      <c r="AQ27" s="67">
        <v>-7.3</v>
      </c>
      <c r="AR27" s="67">
        <f>SUM(M27:P27)</f>
        <v>-10.5</v>
      </c>
      <c r="AS27" s="67">
        <f>SUM(R27:U27)</f>
        <v>-28.3</v>
      </c>
      <c r="AT27" s="67">
        <v>-24.8</v>
      </c>
      <c r="AU27" s="67">
        <v>-64.099999999999994</v>
      </c>
      <c r="AV27" s="67">
        <f t="shared" ref="AV27:AV33" si="4">SUM(AG27:AJ27)</f>
        <v>0</v>
      </c>
      <c r="AX27" s="75"/>
      <c r="AY27" s="75"/>
      <c r="AZ27" s="75"/>
      <c r="BA27" s="75"/>
      <c r="BB27" s="73"/>
      <c r="BC27" s="73"/>
    </row>
    <row r="28" spans="1:55" ht="14">
      <c r="A28" s="66" t="s">
        <v>77</v>
      </c>
      <c r="B28" s="66"/>
      <c r="C28" s="67">
        <v>3.2</v>
      </c>
      <c r="D28" s="67">
        <v>0</v>
      </c>
      <c r="E28" s="67">
        <v>3</v>
      </c>
      <c r="F28" s="67">
        <v>2.9999999999999991</v>
      </c>
      <c r="G28" s="83"/>
      <c r="H28" s="67">
        <v>3</v>
      </c>
      <c r="I28" s="67">
        <v>1.0999999999999996</v>
      </c>
      <c r="J28" s="67">
        <v>0.80000000000000071</v>
      </c>
      <c r="K28" s="67">
        <v>0.9</v>
      </c>
      <c r="M28" s="67">
        <v>0</v>
      </c>
      <c r="N28" s="67">
        <v>5.4</v>
      </c>
      <c r="O28" s="67">
        <v>0</v>
      </c>
      <c r="P28" s="67">
        <v>3</v>
      </c>
      <c r="R28" s="67">
        <v>0.6</v>
      </c>
      <c r="S28" s="67">
        <v>0</v>
      </c>
      <c r="T28" s="67">
        <f>6.6-S28-R28</f>
        <v>6</v>
      </c>
      <c r="U28" s="67">
        <v>16</v>
      </c>
      <c r="W28" s="67">
        <v>0.4</v>
      </c>
      <c r="X28" s="67">
        <v>0</v>
      </c>
      <c r="Y28" s="67">
        <f>18.4-W28-X28</f>
        <v>18</v>
      </c>
      <c r="Z28" s="67">
        <f t="shared" si="2"/>
        <v>0.10000000000000142</v>
      </c>
      <c r="AB28" s="67">
        <v>18.3</v>
      </c>
      <c r="AC28" s="67">
        <v>17.999999999999996</v>
      </c>
      <c r="AD28" s="67">
        <v>23.6</v>
      </c>
      <c r="AE28" s="67">
        <f t="shared" si="3"/>
        <v>0</v>
      </c>
      <c r="AG28" s="67">
        <v>23.7</v>
      </c>
      <c r="AH28" s="67">
        <v>0</v>
      </c>
      <c r="AI28" s="67">
        <v>0</v>
      </c>
      <c r="AJ28" s="67">
        <v>0</v>
      </c>
      <c r="AK28" s="83"/>
      <c r="AL28" s="67">
        <v>0</v>
      </c>
      <c r="AM28" s="67">
        <v>0</v>
      </c>
      <c r="AN28" s="83"/>
      <c r="AO28" s="67">
        <v>12.7</v>
      </c>
      <c r="AP28" s="67">
        <v>9.1999999999999993</v>
      </c>
      <c r="AQ28" s="67">
        <v>5.8</v>
      </c>
      <c r="AR28" s="67">
        <f>SUM(M28:P28)</f>
        <v>8.4</v>
      </c>
      <c r="AS28" s="67">
        <f>SUM(R28:U28)</f>
        <v>22.6</v>
      </c>
      <c r="AT28" s="67">
        <v>18.5</v>
      </c>
      <c r="AU28" s="67">
        <v>59.9</v>
      </c>
      <c r="AV28" s="67">
        <f t="shared" si="4"/>
        <v>23.7</v>
      </c>
      <c r="AX28" s="75"/>
      <c r="AY28" s="75"/>
      <c r="AZ28" s="75"/>
      <c r="BA28" s="75"/>
      <c r="BB28" s="73"/>
      <c r="BC28" s="73"/>
    </row>
    <row r="29" spans="1:55" ht="14">
      <c r="A29" s="66" t="s">
        <v>78</v>
      </c>
      <c r="B29" s="66"/>
      <c r="C29" s="67">
        <v>1.1000000000000001</v>
      </c>
      <c r="D29" s="67">
        <v>0</v>
      </c>
      <c r="E29" s="67">
        <v>-41.800000000000004</v>
      </c>
      <c r="F29" s="67">
        <v>0</v>
      </c>
      <c r="G29" s="83"/>
      <c r="H29" s="67">
        <v>-1.1000000000000001</v>
      </c>
      <c r="I29" s="67">
        <v>-29.599999999999998</v>
      </c>
      <c r="J29" s="67">
        <v>0</v>
      </c>
      <c r="K29" s="108">
        <f>-35.5+1.5</f>
        <v>-34</v>
      </c>
      <c r="M29" s="67">
        <v>0</v>
      </c>
      <c r="N29" s="67">
        <v>-41.3</v>
      </c>
      <c r="O29" s="67">
        <v>-16.600000000000001</v>
      </c>
      <c r="P29" s="67">
        <v>-61.9</v>
      </c>
      <c r="R29" s="67">
        <v>-4</v>
      </c>
      <c r="S29" s="67">
        <v>-1867.2</v>
      </c>
      <c r="T29" s="67">
        <f>-1875.7-S29-R29</f>
        <v>-4.5</v>
      </c>
      <c r="U29" s="67">
        <v>-1.2</v>
      </c>
      <c r="W29" s="67">
        <v>-6.6</v>
      </c>
      <c r="X29" s="67">
        <v>-7.5</v>
      </c>
      <c r="Y29" s="67">
        <f>-147.2-W29-X29</f>
        <v>-133.1</v>
      </c>
      <c r="Z29" s="67">
        <f t="shared" si="2"/>
        <v>0</v>
      </c>
      <c r="AB29" s="67">
        <v>0</v>
      </c>
      <c r="AC29" s="67">
        <v>-37</v>
      </c>
      <c r="AD29" s="67">
        <v>-3.3</v>
      </c>
      <c r="AE29" s="67">
        <f t="shared" si="3"/>
        <v>0</v>
      </c>
      <c r="AG29" s="67">
        <v>-146.4</v>
      </c>
      <c r="AH29" s="67">
        <v>-43.5</v>
      </c>
      <c r="AI29" s="67">
        <v>-230.79999999999995</v>
      </c>
      <c r="AJ29" s="67">
        <v>-4</v>
      </c>
      <c r="AK29" s="83"/>
      <c r="AL29" s="67">
        <v>-298.5</v>
      </c>
      <c r="AM29" s="67">
        <v>-21.6</v>
      </c>
      <c r="AN29" s="83"/>
      <c r="AO29" s="67">
        <v>-156.80000000000001</v>
      </c>
      <c r="AP29" s="67">
        <v>-40.700000000000003</v>
      </c>
      <c r="AQ29" s="67">
        <f>SUM(H29:K29)</f>
        <v>-64.7</v>
      </c>
      <c r="AR29" s="67">
        <f>SUM(M29:P29)</f>
        <v>-119.8</v>
      </c>
      <c r="AS29" s="67">
        <f>SUM(R29:U29)</f>
        <v>-1876.9</v>
      </c>
      <c r="AT29" s="67">
        <v>-147.19999999999999</v>
      </c>
      <c r="AU29" s="67">
        <v>-40.299999999999997</v>
      </c>
      <c r="AV29" s="67">
        <f t="shared" si="4"/>
        <v>-424.69999999999993</v>
      </c>
      <c r="AX29" s="75"/>
      <c r="AY29" s="75"/>
      <c r="AZ29" s="75"/>
      <c r="BA29" s="75"/>
      <c r="BB29" s="73"/>
      <c r="BC29" s="73"/>
    </row>
    <row r="30" spans="1:55" ht="14">
      <c r="A30" s="66" t="s">
        <v>79</v>
      </c>
      <c r="B30" s="66"/>
      <c r="C30" s="67">
        <v>0</v>
      </c>
      <c r="D30" s="67">
        <v>0</v>
      </c>
      <c r="E30" s="67">
        <v>0</v>
      </c>
      <c r="F30" s="67">
        <v>0</v>
      </c>
      <c r="G30" s="83"/>
      <c r="H30" s="67">
        <v>0</v>
      </c>
      <c r="I30" s="67">
        <v>0</v>
      </c>
      <c r="J30" s="67">
        <v>-22.5</v>
      </c>
      <c r="K30" s="67">
        <v>-1</v>
      </c>
      <c r="M30" s="67">
        <v>0</v>
      </c>
      <c r="N30" s="67">
        <v>0</v>
      </c>
      <c r="O30" s="67">
        <v>0</v>
      </c>
      <c r="P30" s="67">
        <v>0</v>
      </c>
      <c r="R30" s="67">
        <v>0</v>
      </c>
      <c r="S30" s="67">
        <v>0</v>
      </c>
      <c r="T30" s="67">
        <v>0</v>
      </c>
      <c r="U30" s="67">
        <v>-52</v>
      </c>
      <c r="W30" s="67">
        <v>0</v>
      </c>
      <c r="X30" s="67">
        <v>0</v>
      </c>
      <c r="Y30" s="67">
        <f>-5.8-W30-X30</f>
        <v>-5.8</v>
      </c>
      <c r="Z30" s="67">
        <f t="shared" si="2"/>
        <v>-3.5000000000000009</v>
      </c>
      <c r="AB30" s="67">
        <v>0</v>
      </c>
      <c r="AC30" s="67">
        <v>0</v>
      </c>
      <c r="AD30" s="67">
        <v>0</v>
      </c>
      <c r="AE30" s="108">
        <f t="shared" si="3"/>
        <v>0</v>
      </c>
      <c r="AG30" s="108">
        <v>0</v>
      </c>
      <c r="AH30" s="108">
        <v>0</v>
      </c>
      <c r="AI30" s="108">
        <v>0</v>
      </c>
      <c r="AJ30" s="108">
        <v>-15</v>
      </c>
      <c r="AK30" s="83"/>
      <c r="AM30" s="67">
        <v>-9.8000000000000007</v>
      </c>
      <c r="AN30" s="83"/>
      <c r="AO30" s="67">
        <v>0</v>
      </c>
      <c r="AP30" s="67">
        <v>0</v>
      </c>
      <c r="AQ30" s="67">
        <v>-23.5</v>
      </c>
      <c r="AR30" s="67">
        <f>SUM(M30:P30)</f>
        <v>0</v>
      </c>
      <c r="AS30" s="67">
        <f>SUM(R30:U30)</f>
        <v>-52</v>
      </c>
      <c r="AT30" s="67">
        <v>-9.3000000000000007</v>
      </c>
      <c r="AU30" s="67">
        <v>0</v>
      </c>
      <c r="AV30" s="67">
        <f t="shared" si="4"/>
        <v>-15</v>
      </c>
      <c r="AX30" s="75"/>
      <c r="AY30" s="75"/>
      <c r="AZ30" s="75"/>
      <c r="BA30" s="75"/>
      <c r="BB30" s="73"/>
      <c r="BC30" s="73"/>
    </row>
    <row r="31" spans="1:55" ht="12" customHeight="1">
      <c r="A31" s="66" t="s">
        <v>199</v>
      </c>
      <c r="B31" s="66"/>
      <c r="C31" s="67">
        <v>0</v>
      </c>
      <c r="D31" s="67">
        <v>0</v>
      </c>
      <c r="E31" s="67">
        <v>0</v>
      </c>
      <c r="F31" s="67">
        <v>0</v>
      </c>
      <c r="G31" s="83">
        <v>0</v>
      </c>
      <c r="H31" s="67">
        <v>0</v>
      </c>
      <c r="I31" s="67">
        <v>0</v>
      </c>
      <c r="J31" s="67">
        <v>0</v>
      </c>
      <c r="K31" s="67">
        <v>0</v>
      </c>
      <c r="L31" s="67">
        <v>0</v>
      </c>
      <c r="M31" s="67">
        <v>0</v>
      </c>
      <c r="N31" s="67">
        <v>0</v>
      </c>
      <c r="O31" s="67">
        <v>0</v>
      </c>
      <c r="P31" s="67">
        <v>0</v>
      </c>
      <c r="Q31" s="67">
        <v>0</v>
      </c>
      <c r="R31" s="67">
        <v>0</v>
      </c>
      <c r="S31" s="67">
        <v>0</v>
      </c>
      <c r="T31" s="67">
        <v>447.7</v>
      </c>
      <c r="U31" s="67">
        <v>0</v>
      </c>
      <c r="W31" s="67">
        <v>-4.3</v>
      </c>
      <c r="X31" s="67">
        <v>0</v>
      </c>
      <c r="Y31" s="67">
        <v>0</v>
      </c>
      <c r="Z31" s="67">
        <f t="shared" si="2"/>
        <v>0</v>
      </c>
      <c r="AB31" s="67">
        <v>0</v>
      </c>
      <c r="AC31" s="67">
        <v>0</v>
      </c>
      <c r="AD31" s="67">
        <v>0</v>
      </c>
      <c r="AE31" s="67">
        <f t="shared" si="3"/>
        <v>0</v>
      </c>
      <c r="AG31" s="67">
        <v>0</v>
      </c>
      <c r="AH31" s="67">
        <v>0</v>
      </c>
      <c r="AI31" s="67">
        <v>0</v>
      </c>
      <c r="AJ31" s="67">
        <v>0</v>
      </c>
      <c r="AK31" s="83"/>
      <c r="AL31" s="67">
        <v>0</v>
      </c>
      <c r="AM31" s="67">
        <v>0</v>
      </c>
      <c r="AN31" s="83"/>
      <c r="AO31" s="67">
        <v>0</v>
      </c>
      <c r="AP31" s="67">
        <v>0</v>
      </c>
      <c r="AQ31" s="67">
        <v>0</v>
      </c>
      <c r="AR31" s="67">
        <f>SUM(M31:P31)</f>
        <v>0</v>
      </c>
      <c r="AS31" s="67">
        <f>SUM(R31:U31)</f>
        <v>447.7</v>
      </c>
      <c r="AT31" s="67">
        <v>-4.3</v>
      </c>
      <c r="AU31" s="67">
        <v>0</v>
      </c>
      <c r="AV31" s="67">
        <f t="shared" si="4"/>
        <v>0</v>
      </c>
      <c r="AX31" s="75"/>
      <c r="AY31" s="75"/>
      <c r="AZ31" s="75"/>
      <c r="BA31" s="75"/>
      <c r="BB31" s="73"/>
      <c r="BC31" s="73"/>
    </row>
    <row r="32" spans="1:55" ht="14">
      <c r="A32" s="66" t="s">
        <v>182</v>
      </c>
      <c r="B32" s="66"/>
      <c r="C32" s="67">
        <v>-8.4</v>
      </c>
      <c r="D32" s="67">
        <v>-10.199999999999999</v>
      </c>
      <c r="E32" s="67">
        <v>-22.8</v>
      </c>
      <c r="F32" s="67">
        <v>-26.499999999999996</v>
      </c>
      <c r="G32" s="83">
        <v>0</v>
      </c>
      <c r="H32" s="67">
        <v>-8.1999999999999993</v>
      </c>
      <c r="I32" s="67">
        <v>-14.800000000000002</v>
      </c>
      <c r="J32" s="67">
        <v>-11.299999999999999</v>
      </c>
      <c r="K32" s="67">
        <v>-21.5</v>
      </c>
      <c r="L32" s="67">
        <v>0</v>
      </c>
      <c r="M32" s="67">
        <v>-12</v>
      </c>
      <c r="N32" s="67">
        <v>-14.6</v>
      </c>
      <c r="O32" s="67">
        <v>-16.2</v>
      </c>
      <c r="P32" s="67">
        <v>-18.7</v>
      </c>
      <c r="Q32" s="67">
        <v>0</v>
      </c>
      <c r="R32" s="67">
        <v>-19.8</v>
      </c>
      <c r="S32" s="67">
        <v>-16.7</v>
      </c>
      <c r="T32" s="67">
        <v>-23.700000000000003</v>
      </c>
      <c r="U32" s="67">
        <v>-22.999999999999996</v>
      </c>
      <c r="W32" s="67">
        <v>-16.100000000000001</v>
      </c>
      <c r="X32" s="67">
        <v>-19.8</v>
      </c>
      <c r="Y32" s="67">
        <f>-49.5-W32-X32</f>
        <v>-13.599999999999998</v>
      </c>
      <c r="Z32" s="67">
        <f t="shared" si="2"/>
        <v>-38.200000000000003</v>
      </c>
      <c r="AB32" s="67">
        <v>-29.4</v>
      </c>
      <c r="AC32" s="67">
        <v>-16.5</v>
      </c>
      <c r="AD32" s="67">
        <v>-25.2</v>
      </c>
      <c r="AE32" s="67">
        <f t="shared" si="3"/>
        <v>-16.5</v>
      </c>
      <c r="AG32" s="67">
        <v>-13.5</v>
      </c>
      <c r="AH32" s="67">
        <v>-17.2</v>
      </c>
      <c r="AI32" s="67">
        <v>-8.4000000000000021</v>
      </c>
      <c r="AJ32" s="67">
        <v>-27.4</v>
      </c>
      <c r="AK32" s="83"/>
      <c r="AL32" s="67">
        <v>-9</v>
      </c>
      <c r="AM32" s="67">
        <v>-12.1</v>
      </c>
      <c r="AN32" s="83"/>
      <c r="AO32" s="67">
        <v>-52.1</v>
      </c>
      <c r="AP32" s="67">
        <v>-67.900000000000006</v>
      </c>
      <c r="AQ32" s="67">
        <v>-55.8</v>
      </c>
      <c r="AR32" s="67">
        <v>-61.5</v>
      </c>
      <c r="AS32" s="67">
        <v>-83.2</v>
      </c>
      <c r="AT32" s="67">
        <v>-87.7</v>
      </c>
      <c r="AU32" s="67">
        <v>-87.6</v>
      </c>
      <c r="AV32" s="67">
        <f t="shared" si="4"/>
        <v>-66.5</v>
      </c>
      <c r="AX32" s="75"/>
      <c r="AY32" s="75"/>
      <c r="AZ32" s="75"/>
      <c r="BA32" s="75"/>
      <c r="BB32" s="73"/>
      <c r="BC32" s="73"/>
    </row>
    <row r="33" spans="1:55" ht="14">
      <c r="A33" s="66" t="s">
        <v>15</v>
      </c>
      <c r="B33" s="66"/>
      <c r="C33" s="95">
        <v>0</v>
      </c>
      <c r="D33" s="95">
        <v>1.2</v>
      </c>
      <c r="E33" s="95">
        <v>-9.9999999999999867E-2</v>
      </c>
      <c r="F33" s="95">
        <v>0</v>
      </c>
      <c r="G33" s="83"/>
      <c r="H33" s="95">
        <v>0</v>
      </c>
      <c r="I33" s="95">
        <v>1.1000000000000001</v>
      </c>
      <c r="J33" s="95">
        <v>0</v>
      </c>
      <c r="K33" s="95">
        <f>0.1-0.1</f>
        <v>0</v>
      </c>
      <c r="L33" s="83"/>
      <c r="M33" s="95">
        <v>0</v>
      </c>
      <c r="N33" s="95">
        <v>0</v>
      </c>
      <c r="O33" s="95">
        <v>0</v>
      </c>
      <c r="P33" s="95"/>
      <c r="Q33" s="83"/>
      <c r="R33" s="95">
        <v>0</v>
      </c>
      <c r="S33" s="95">
        <v>0</v>
      </c>
      <c r="T33" s="95">
        <v>0</v>
      </c>
      <c r="U33" s="95">
        <v>0</v>
      </c>
      <c r="V33" s="83"/>
      <c r="W33" s="95">
        <v>0</v>
      </c>
      <c r="X33" s="95">
        <v>-10</v>
      </c>
      <c r="Y33" s="95">
        <v>10</v>
      </c>
      <c r="Z33" s="95">
        <f t="shared" si="2"/>
        <v>0</v>
      </c>
      <c r="AA33" s="83"/>
      <c r="AB33" s="95">
        <v>0</v>
      </c>
      <c r="AC33" s="189">
        <v>-1.3</v>
      </c>
      <c r="AD33" s="95">
        <v>-0.5</v>
      </c>
      <c r="AE33" s="95">
        <f t="shared" si="3"/>
        <v>-1.4000000000000001</v>
      </c>
      <c r="AF33" s="83"/>
      <c r="AG33" s="95">
        <v>0.3</v>
      </c>
      <c r="AH33" s="95">
        <v>0</v>
      </c>
      <c r="AI33" s="95">
        <v>-9.9999999999999978E-2</v>
      </c>
      <c r="AJ33" s="95">
        <v>0</v>
      </c>
      <c r="AK33" s="83"/>
      <c r="AL33" s="95">
        <v>1</v>
      </c>
      <c r="AM33" s="95">
        <v>-9.9</v>
      </c>
      <c r="AN33" s="83"/>
      <c r="AO33" s="95">
        <v>0.4</v>
      </c>
      <c r="AP33" s="95">
        <v>1.1000000000000001</v>
      </c>
      <c r="AQ33" s="95">
        <v>1.1000000000000001</v>
      </c>
      <c r="AR33" s="95">
        <f>SUM(M33:P33)</f>
        <v>0</v>
      </c>
      <c r="AS33" s="95">
        <f>SUM(R33:U33)</f>
        <v>0</v>
      </c>
      <c r="AT33" s="95">
        <v>0</v>
      </c>
      <c r="AU33" s="95">
        <f>1.5-4.7</f>
        <v>-3.2</v>
      </c>
      <c r="AV33" s="95">
        <f t="shared" si="4"/>
        <v>0.2</v>
      </c>
      <c r="AX33" s="75"/>
      <c r="AY33" s="75"/>
      <c r="AZ33" s="75"/>
      <c r="BA33" s="75"/>
      <c r="BB33" s="73"/>
      <c r="BC33" s="73"/>
    </row>
    <row r="34" spans="1:55" s="104" customFormat="1" ht="14">
      <c r="A34" s="92" t="s">
        <v>80</v>
      </c>
      <c r="B34" s="92"/>
      <c r="C34" s="130">
        <f>SUM(C27:C33)</f>
        <v>-4.0999999999999996</v>
      </c>
      <c r="D34" s="130">
        <f>SUM(D27:D33)</f>
        <v>-12</v>
      </c>
      <c r="E34" s="130">
        <f>SUM(E26:E33)</f>
        <v>-64.7</v>
      </c>
      <c r="F34" s="130">
        <f>SUM(F26:F33)</f>
        <v>-26.499999999999996</v>
      </c>
      <c r="G34" s="126"/>
      <c r="H34" s="130">
        <f>SUM(H27:H33)</f>
        <v>-7.3999999999999995</v>
      </c>
      <c r="I34" s="130">
        <f>SUM(I27:I33)</f>
        <v>-47.6</v>
      </c>
      <c r="J34" s="130">
        <f>SUM(J27:J33)</f>
        <v>-33.799999999999997</v>
      </c>
      <c r="K34" s="130">
        <f>SUM(K27:K33)</f>
        <v>-55.6</v>
      </c>
      <c r="L34" s="130"/>
      <c r="M34" s="130">
        <v>-15.9</v>
      </c>
      <c r="N34" s="130">
        <f>SUM(N27:N33)</f>
        <v>-57.1</v>
      </c>
      <c r="O34" s="130">
        <f>SUM(O27:O33)</f>
        <v>-32.799999999999997</v>
      </c>
      <c r="P34" s="130">
        <f>SUM(P27:P33)</f>
        <v>-77.599999999999994</v>
      </c>
      <c r="Q34" s="130"/>
      <c r="R34" s="130">
        <f>SUM(R27:R33)</f>
        <v>-29.6</v>
      </c>
      <c r="S34" s="130">
        <f>SUM(S27:S33)</f>
        <v>-1883.9</v>
      </c>
      <c r="T34" s="130">
        <f>SUM(T27:T33)</f>
        <v>415.6</v>
      </c>
      <c r="U34" s="130">
        <f>SUM(U27:U33)</f>
        <v>-72.2</v>
      </c>
      <c r="V34" s="130"/>
      <c r="W34" s="130">
        <f>SUM(W27:W33)</f>
        <v>-33.5</v>
      </c>
      <c r="X34" s="130">
        <f>SUM(X27:X33)</f>
        <v>-37.299999999999997</v>
      </c>
      <c r="Y34" s="130">
        <f>SUM(Y27:Y33)</f>
        <v>-124.5</v>
      </c>
      <c r="Z34" s="130">
        <f>SUM(Z27:Z33)</f>
        <v>-59.5</v>
      </c>
      <c r="AA34" s="130"/>
      <c r="AB34" s="130">
        <f>SUM(AB27:AB33)</f>
        <v>-28.999999999999996</v>
      </c>
      <c r="AC34" s="130">
        <f>SUM(AC27:AC33)</f>
        <v>-59.5</v>
      </c>
      <c r="AD34" s="130">
        <f>SUM(AD27:AD33)</f>
        <v>-28.9</v>
      </c>
      <c r="AE34" s="130">
        <f>SUM(AE27:AE33)</f>
        <v>-17.899999999999999</v>
      </c>
      <c r="AF34" s="130"/>
      <c r="AG34" s="130">
        <f>SUM(AG27:AG33)</f>
        <v>-135.89999999999998</v>
      </c>
      <c r="AH34" s="130">
        <f>SUM(AH27:AH33)</f>
        <v>-60.7</v>
      </c>
      <c r="AI34" s="130">
        <f>SUM(AI27:AI33)</f>
        <v>-239.29999999999995</v>
      </c>
      <c r="AJ34" s="130">
        <f>SUM(AJ27:AJ33)</f>
        <v>-46.4</v>
      </c>
      <c r="AK34" s="126"/>
      <c r="AL34" s="130">
        <f>SUM(AL27:AL33)</f>
        <v>-306.5</v>
      </c>
      <c r="AM34" s="130">
        <f>SUM(AM27:AM33)</f>
        <v>-53.4</v>
      </c>
      <c r="AN34" s="126"/>
      <c r="AO34" s="130">
        <f t="shared" ref="AO34:AV34" si="5">SUM(AO27:AO33)</f>
        <v>-208.5</v>
      </c>
      <c r="AP34" s="130">
        <f t="shared" si="5"/>
        <v>-107.30000000000001</v>
      </c>
      <c r="AQ34" s="130">
        <f t="shared" si="5"/>
        <v>-144.4</v>
      </c>
      <c r="AR34" s="130">
        <f t="shared" si="5"/>
        <v>-183.39999999999998</v>
      </c>
      <c r="AS34" s="130">
        <f t="shared" si="5"/>
        <v>-1570.1000000000001</v>
      </c>
      <c r="AT34" s="130">
        <f t="shared" si="5"/>
        <v>-254.8</v>
      </c>
      <c r="AU34" s="130">
        <f t="shared" si="5"/>
        <v>-135.29999999999998</v>
      </c>
      <c r="AV34" s="130">
        <f t="shared" si="5"/>
        <v>-482.29999999999995</v>
      </c>
      <c r="AW34" s="130"/>
      <c r="AX34" s="75"/>
      <c r="AY34" s="132"/>
      <c r="AZ34" s="132"/>
      <c r="BA34" s="132"/>
      <c r="BB34" s="133"/>
      <c r="BC34" s="133"/>
    </row>
    <row r="35" spans="1:55" ht="14">
      <c r="A35" s="66" t="s">
        <v>81</v>
      </c>
      <c r="B35" s="66"/>
      <c r="C35" s="67"/>
      <c r="D35" s="67"/>
      <c r="G35" s="83"/>
      <c r="AK35" s="83"/>
      <c r="AM35" s="67"/>
      <c r="AN35" s="83"/>
      <c r="AQ35" s="67"/>
      <c r="AR35" s="67"/>
      <c r="AS35" s="67"/>
      <c r="AT35" s="67"/>
      <c r="AU35" s="67"/>
      <c r="AV35" s="67"/>
      <c r="AX35" s="75"/>
      <c r="AY35" s="75"/>
      <c r="BB35" s="73"/>
      <c r="BC35" s="73"/>
    </row>
    <row r="36" spans="1:55" ht="14">
      <c r="A36" s="92" t="s">
        <v>82</v>
      </c>
      <c r="B36" s="92"/>
      <c r="C36" s="67"/>
      <c r="D36" s="67"/>
      <c r="G36" s="83"/>
      <c r="AK36" s="83"/>
      <c r="AM36" s="67"/>
      <c r="AN36" s="83"/>
      <c r="AQ36" s="67"/>
      <c r="AR36" s="67"/>
      <c r="AS36" s="67"/>
      <c r="AT36" s="67"/>
      <c r="AU36" s="67"/>
      <c r="AV36" s="67"/>
      <c r="AX36" s="75"/>
      <c r="AY36" s="75"/>
      <c r="BB36" s="73"/>
      <c r="BC36" s="73"/>
    </row>
    <row r="37" spans="1:55" ht="14">
      <c r="A37" s="66" t="s">
        <v>118</v>
      </c>
      <c r="B37" s="92"/>
      <c r="C37" s="96"/>
      <c r="D37" s="96"/>
      <c r="E37" s="96"/>
      <c r="G37" s="83"/>
      <c r="AK37" s="83"/>
      <c r="AN37" s="83"/>
      <c r="AQ37" s="67"/>
      <c r="AR37" s="67"/>
      <c r="AS37" s="67"/>
      <c r="AT37" s="67"/>
      <c r="AU37" s="67"/>
      <c r="AV37" s="67"/>
      <c r="AX37" s="75"/>
      <c r="AY37" s="75"/>
      <c r="AZ37" s="75"/>
      <c r="BA37" s="75"/>
      <c r="BB37" s="73"/>
      <c r="BC37" s="73"/>
    </row>
    <row r="38" spans="1:55" ht="14" hidden="1" outlineLevel="1">
      <c r="A38" s="97" t="s">
        <v>125</v>
      </c>
      <c r="B38" s="92"/>
      <c r="C38" s="96">
        <v>0</v>
      </c>
      <c r="D38" s="96">
        <v>0</v>
      </c>
      <c r="E38" s="96">
        <v>0</v>
      </c>
      <c r="F38" s="67">
        <v>0</v>
      </c>
      <c r="G38" s="83"/>
      <c r="H38" s="67">
        <v>0</v>
      </c>
      <c r="I38" s="67">
        <v>0</v>
      </c>
      <c r="J38" s="67">
        <v>0</v>
      </c>
      <c r="K38" s="67">
        <v>0</v>
      </c>
      <c r="M38" s="67">
        <v>0</v>
      </c>
      <c r="N38" s="67">
        <v>0</v>
      </c>
      <c r="O38" s="67">
        <v>0</v>
      </c>
      <c r="P38" s="67">
        <v>0</v>
      </c>
      <c r="R38" s="67">
        <v>0</v>
      </c>
      <c r="S38" s="67">
        <v>0</v>
      </c>
      <c r="T38" s="67">
        <v>0</v>
      </c>
      <c r="U38" s="67">
        <v>0</v>
      </c>
      <c r="W38" s="67">
        <v>0</v>
      </c>
      <c r="X38" s="67">
        <v>0</v>
      </c>
      <c r="Y38" s="67">
        <v>0</v>
      </c>
      <c r="Z38" s="67">
        <f>AT38-SUM(W38:Y38)</f>
        <v>0</v>
      </c>
      <c r="AB38" s="67">
        <v>0</v>
      </c>
      <c r="AC38" s="67">
        <v>0</v>
      </c>
      <c r="AD38" s="67">
        <v>0</v>
      </c>
      <c r="AH38" s="67">
        <f>AX38-AG38</f>
        <v>0</v>
      </c>
      <c r="AK38" s="83"/>
      <c r="AN38" s="83"/>
      <c r="AO38" s="67">
        <v>2.7</v>
      </c>
      <c r="AP38" s="67">
        <v>0</v>
      </c>
      <c r="AQ38" s="67">
        <v>0</v>
      </c>
      <c r="AR38" s="67">
        <f>SUM(M38:P38)</f>
        <v>0</v>
      </c>
      <c r="AS38" s="67">
        <f>SUM(R38:U38)</f>
        <v>0</v>
      </c>
      <c r="AT38" s="67">
        <v>0</v>
      </c>
      <c r="AU38" s="67"/>
      <c r="AV38" s="67"/>
      <c r="AX38" s="75"/>
      <c r="AY38" s="75"/>
      <c r="AZ38" s="75"/>
      <c r="BA38" s="75"/>
      <c r="BB38" s="73"/>
      <c r="BC38" s="73"/>
    </row>
    <row r="39" spans="1:55" ht="14" outlineLevel="1">
      <c r="A39" s="97" t="s">
        <v>228</v>
      </c>
      <c r="B39" s="92"/>
      <c r="C39" s="96"/>
      <c r="D39" s="96"/>
      <c r="E39" s="96"/>
      <c r="G39" s="83"/>
      <c r="AI39" s="67">
        <v>746.3</v>
      </c>
      <c r="AJ39" s="67">
        <v>0</v>
      </c>
      <c r="AK39" s="83"/>
      <c r="AL39" s="67">
        <v>0</v>
      </c>
      <c r="AM39" s="108" t="s">
        <v>231</v>
      </c>
      <c r="AN39" s="83"/>
      <c r="AQ39" s="67"/>
      <c r="AR39" s="67"/>
      <c r="AS39" s="67"/>
      <c r="AT39" s="67"/>
      <c r="AU39" s="67"/>
      <c r="AV39" s="67">
        <f t="shared" ref="AV39:AV57" si="6">SUM(AG39:AJ39)</f>
        <v>746.3</v>
      </c>
      <c r="AX39" s="75"/>
      <c r="AY39" s="75"/>
      <c r="AZ39" s="75"/>
      <c r="BA39" s="75"/>
      <c r="BB39" s="73"/>
      <c r="BC39" s="73"/>
    </row>
    <row r="40" spans="1:55" ht="14" outlineLevel="1">
      <c r="A40" s="97" t="s">
        <v>229</v>
      </c>
      <c r="B40" s="92"/>
      <c r="C40" s="96"/>
      <c r="D40" s="96"/>
      <c r="E40" s="96"/>
      <c r="G40" s="83"/>
      <c r="AC40" s="67">
        <v>600</v>
      </c>
      <c r="AD40" s="67">
        <v>0</v>
      </c>
      <c r="AE40" s="67">
        <f t="shared" ref="AE40:AE47" si="7">AU40-SUM(AB40:AD40)</f>
        <v>0</v>
      </c>
      <c r="AG40" s="67">
        <v>0</v>
      </c>
      <c r="AH40" s="67">
        <v>0</v>
      </c>
      <c r="AI40" s="67">
        <v>0</v>
      </c>
      <c r="AJ40" s="67">
        <v>0</v>
      </c>
      <c r="AK40" s="83"/>
      <c r="AL40" s="67">
        <v>800</v>
      </c>
      <c r="AM40" s="108">
        <v>0</v>
      </c>
      <c r="AN40" s="83"/>
      <c r="AQ40" s="67"/>
      <c r="AR40" s="67"/>
      <c r="AS40" s="67"/>
      <c r="AT40" s="67"/>
      <c r="AU40" s="67">
        <v>600</v>
      </c>
      <c r="AV40" s="67">
        <f t="shared" si="6"/>
        <v>0</v>
      </c>
      <c r="AX40" s="75"/>
      <c r="AY40" s="75"/>
      <c r="AZ40" s="75"/>
      <c r="BA40" s="75"/>
      <c r="BB40" s="73"/>
      <c r="BC40" s="73"/>
    </row>
    <row r="41" spans="1:55" ht="14">
      <c r="A41" s="97" t="s">
        <v>164</v>
      </c>
      <c r="B41" s="92"/>
      <c r="C41" s="67">
        <v>0</v>
      </c>
      <c r="D41" s="67">
        <v>-0.6</v>
      </c>
      <c r="E41" s="67">
        <v>-0.8</v>
      </c>
      <c r="F41" s="67">
        <v>-0.4</v>
      </c>
      <c r="G41" s="83"/>
      <c r="H41" s="67">
        <v>-2.9</v>
      </c>
      <c r="I41" s="67">
        <v>485.4</v>
      </c>
      <c r="J41" s="67">
        <v>-0.1</v>
      </c>
      <c r="K41" s="67">
        <v>0</v>
      </c>
      <c r="M41" s="67">
        <v>0</v>
      </c>
      <c r="N41" s="67">
        <v>0</v>
      </c>
      <c r="O41" s="67">
        <v>0</v>
      </c>
      <c r="R41" s="67">
        <v>0</v>
      </c>
      <c r="S41" s="67">
        <v>21.7</v>
      </c>
      <c r="T41" s="67">
        <f>22.1-S41</f>
        <v>0.40000000000000213</v>
      </c>
      <c r="U41" s="67">
        <v>0.8</v>
      </c>
      <c r="W41" s="67">
        <v>0</v>
      </c>
      <c r="X41" s="67">
        <v>0</v>
      </c>
      <c r="Y41" s="67">
        <v>0</v>
      </c>
      <c r="Z41" s="67">
        <f t="shared" ref="Z41:Z47" si="8">AT41-SUM(W41:Y41)</f>
        <v>0</v>
      </c>
      <c r="AB41" s="67">
        <v>0</v>
      </c>
      <c r="AC41" s="67">
        <v>0</v>
      </c>
      <c r="AD41" s="67">
        <v>0</v>
      </c>
      <c r="AE41" s="67">
        <f t="shared" si="7"/>
        <v>0</v>
      </c>
      <c r="AG41" s="67">
        <v>0</v>
      </c>
      <c r="AH41" s="67">
        <v>0</v>
      </c>
      <c r="AI41" s="67">
        <v>0</v>
      </c>
      <c r="AJ41" s="67">
        <v>0</v>
      </c>
      <c r="AK41" s="83"/>
      <c r="AL41" s="67">
        <v>0</v>
      </c>
      <c r="AM41" s="108" t="s">
        <v>231</v>
      </c>
      <c r="AN41" s="83"/>
      <c r="AO41" s="67">
        <v>0</v>
      </c>
      <c r="AP41" s="67">
        <f>SUM(C41:F41)</f>
        <v>-1.7999999999999998</v>
      </c>
      <c r="AQ41" s="67">
        <f>SUM(H41:K41)</f>
        <v>482.4</v>
      </c>
      <c r="AR41" s="67">
        <f>SUM(M41:P41)</f>
        <v>0</v>
      </c>
      <c r="AS41" s="67">
        <f t="shared" ref="AS41:AS47" si="9">SUM(R41:U41)</f>
        <v>22.900000000000002</v>
      </c>
      <c r="AT41" s="67">
        <v>0</v>
      </c>
      <c r="AU41" s="67">
        <v>0</v>
      </c>
      <c r="AV41" s="67">
        <f t="shared" si="6"/>
        <v>0</v>
      </c>
      <c r="AX41" s="75"/>
      <c r="AY41" s="75"/>
      <c r="AZ41" s="75"/>
      <c r="BA41" s="75"/>
      <c r="BB41" s="73"/>
      <c r="BC41" s="73"/>
    </row>
    <row r="42" spans="1:55" ht="14">
      <c r="A42" s="97" t="s">
        <v>119</v>
      </c>
      <c r="B42" s="92"/>
      <c r="C42" s="67">
        <v>2.2999999999999998</v>
      </c>
      <c r="D42" s="67">
        <v>0</v>
      </c>
      <c r="E42" s="67">
        <f>0.3</f>
        <v>0.3</v>
      </c>
      <c r="F42" s="67">
        <v>-0.2</v>
      </c>
      <c r="G42" s="83"/>
      <c r="H42" s="67">
        <v>0.4</v>
      </c>
      <c r="I42" s="67">
        <v>0.5</v>
      </c>
      <c r="J42" s="67">
        <v>0.29999999999999993</v>
      </c>
      <c r="K42" s="67">
        <v>11.5</v>
      </c>
      <c r="M42" s="67">
        <v>6.4</v>
      </c>
      <c r="N42" s="67">
        <v>16.899999999999999</v>
      </c>
      <c r="O42" s="67">
        <v>22.6</v>
      </c>
      <c r="P42" s="67">
        <v>9.1</v>
      </c>
      <c r="R42" s="67">
        <v>13.9</v>
      </c>
      <c r="S42" s="67">
        <v>19.399999999999999</v>
      </c>
      <c r="T42" s="67">
        <f>47.9-S42-R42</f>
        <v>14.6</v>
      </c>
      <c r="U42" s="67">
        <f>61.1-47.9</f>
        <v>13.200000000000003</v>
      </c>
      <c r="W42" s="67">
        <v>20.7</v>
      </c>
      <c r="X42" s="67">
        <v>15</v>
      </c>
      <c r="Y42" s="67">
        <f>54.8-W42-X42</f>
        <v>19.099999999999994</v>
      </c>
      <c r="Z42" s="67">
        <f t="shared" si="8"/>
        <v>12.400000000000006</v>
      </c>
      <c r="AB42" s="67">
        <v>17.600000000000001</v>
      </c>
      <c r="AC42" s="67">
        <v>19.399999999999999</v>
      </c>
      <c r="AD42" s="67">
        <v>9</v>
      </c>
      <c r="AE42" s="67">
        <f t="shared" si="7"/>
        <v>24.700000000000003</v>
      </c>
      <c r="AG42" s="67">
        <v>15.3</v>
      </c>
      <c r="AH42" s="67">
        <v>29.2</v>
      </c>
      <c r="AI42" s="67">
        <v>14.200000000000006</v>
      </c>
      <c r="AJ42" s="67">
        <v>19</v>
      </c>
      <c r="AK42" s="83"/>
      <c r="AL42" s="67">
        <v>11.6</v>
      </c>
      <c r="AM42" s="108">
        <v>14.2</v>
      </c>
      <c r="AN42" s="83"/>
      <c r="AO42" s="67">
        <v>0.6</v>
      </c>
      <c r="AP42" s="67">
        <f>SUM(C42:F42)</f>
        <v>2.3999999999999995</v>
      </c>
      <c r="AQ42" s="67">
        <f>SUM(H42:K42)</f>
        <v>12.7</v>
      </c>
      <c r="AR42" s="67">
        <f>SUM(M42:P42)</f>
        <v>55</v>
      </c>
      <c r="AS42" s="67">
        <f t="shared" si="9"/>
        <v>61.1</v>
      </c>
      <c r="AT42" s="67">
        <v>67.2</v>
      </c>
      <c r="AU42" s="67">
        <v>70.7</v>
      </c>
      <c r="AV42" s="67">
        <f t="shared" si="6"/>
        <v>77.7</v>
      </c>
      <c r="AX42" s="75"/>
      <c r="AY42" s="75"/>
      <c r="AZ42" s="75"/>
      <c r="BA42" s="75"/>
      <c r="BB42" s="73"/>
      <c r="BC42" s="73"/>
    </row>
    <row r="43" spans="1:55" ht="28">
      <c r="A43" s="97" t="s">
        <v>111</v>
      </c>
      <c r="B43" s="92"/>
      <c r="C43" s="67">
        <v>0</v>
      </c>
      <c r="D43" s="67">
        <v>0</v>
      </c>
      <c r="E43" s="67">
        <v>0</v>
      </c>
      <c r="F43" s="67">
        <v>0</v>
      </c>
      <c r="G43" s="83"/>
      <c r="H43" s="67">
        <v>0</v>
      </c>
      <c r="I43" s="67">
        <v>0</v>
      </c>
      <c r="J43" s="67">
        <v>0</v>
      </c>
      <c r="K43" s="67">
        <v>11.5</v>
      </c>
      <c r="M43" s="67">
        <v>0</v>
      </c>
      <c r="N43" s="67">
        <v>0</v>
      </c>
      <c r="O43" s="67">
        <v>0</v>
      </c>
      <c r="P43" s="67">
        <v>5</v>
      </c>
      <c r="R43" s="67">
        <v>0</v>
      </c>
      <c r="S43" s="67">
        <v>9.1999999999999993</v>
      </c>
      <c r="T43" s="67">
        <v>0</v>
      </c>
      <c r="U43" s="67">
        <f>17.4-9.2</f>
        <v>8.1999999999999993</v>
      </c>
      <c r="W43" s="67">
        <v>0</v>
      </c>
      <c r="X43" s="67">
        <v>11.9</v>
      </c>
      <c r="Y43" s="67">
        <v>0</v>
      </c>
      <c r="Z43" s="67">
        <f t="shared" si="8"/>
        <v>9.9999999999999982</v>
      </c>
      <c r="AB43" s="67">
        <v>0</v>
      </c>
      <c r="AC43" s="67">
        <v>16.600000000000001</v>
      </c>
      <c r="AD43" s="67">
        <v>0</v>
      </c>
      <c r="AE43" s="67">
        <f t="shared" si="7"/>
        <v>11.899999999999999</v>
      </c>
      <c r="AG43" s="67">
        <v>0</v>
      </c>
      <c r="AH43" s="67">
        <v>17.5</v>
      </c>
      <c r="AI43" s="67">
        <v>0</v>
      </c>
      <c r="AJ43" s="67">
        <v>12.1</v>
      </c>
      <c r="AK43" s="83"/>
      <c r="AL43" s="67">
        <v>0</v>
      </c>
      <c r="AM43" s="108">
        <v>18.399999999999999</v>
      </c>
      <c r="AN43" s="83"/>
      <c r="AO43" s="67">
        <v>0</v>
      </c>
      <c r="AP43" s="67">
        <f>SUM(C43:F43)</f>
        <v>0</v>
      </c>
      <c r="AQ43" s="67">
        <f>SUM(H43:K43)</f>
        <v>11.5</v>
      </c>
      <c r="AR43" s="67">
        <f>SUM(M43:P43)</f>
        <v>5</v>
      </c>
      <c r="AS43" s="67">
        <f t="shared" si="9"/>
        <v>17.399999999999999</v>
      </c>
      <c r="AT43" s="67">
        <v>21.9</v>
      </c>
      <c r="AU43" s="67">
        <v>28.5</v>
      </c>
      <c r="AV43" s="67">
        <f t="shared" si="6"/>
        <v>29.6</v>
      </c>
      <c r="AX43" s="75"/>
      <c r="AY43" s="75"/>
      <c r="AZ43" s="75"/>
      <c r="BA43" s="75"/>
      <c r="BB43" s="73"/>
      <c r="BC43" s="73"/>
    </row>
    <row r="44" spans="1:55" ht="14">
      <c r="A44" s="97" t="s">
        <v>163</v>
      </c>
      <c r="B44" s="92"/>
      <c r="C44" s="67">
        <v>0</v>
      </c>
      <c r="D44" s="67">
        <v>0</v>
      </c>
      <c r="E44" s="67">
        <v>0</v>
      </c>
      <c r="F44" s="67">
        <v>0</v>
      </c>
      <c r="G44" s="83">
        <v>0</v>
      </c>
      <c r="H44" s="67">
        <v>0</v>
      </c>
      <c r="I44" s="67">
        <v>0</v>
      </c>
      <c r="J44" s="67">
        <v>0</v>
      </c>
      <c r="K44" s="67">
        <v>0</v>
      </c>
      <c r="L44" s="67">
        <v>0</v>
      </c>
      <c r="M44" s="67">
        <v>0</v>
      </c>
      <c r="N44" s="67">
        <v>0</v>
      </c>
      <c r="O44" s="67">
        <v>0</v>
      </c>
      <c r="P44" s="67">
        <v>0</v>
      </c>
      <c r="Q44" s="67">
        <v>0</v>
      </c>
      <c r="R44" s="67">
        <v>0</v>
      </c>
      <c r="S44" s="67">
        <v>1421.4</v>
      </c>
      <c r="T44" s="67">
        <v>0</v>
      </c>
      <c r="U44" s="67">
        <v>0</v>
      </c>
      <c r="W44" s="67">
        <v>0</v>
      </c>
      <c r="X44" s="67">
        <v>0</v>
      </c>
      <c r="Y44" s="67">
        <v>0</v>
      </c>
      <c r="Z44" s="67">
        <f t="shared" si="8"/>
        <v>0</v>
      </c>
      <c r="AB44" s="67">
        <v>0</v>
      </c>
      <c r="AC44" s="67">
        <v>0</v>
      </c>
      <c r="AD44" s="67">
        <v>0</v>
      </c>
      <c r="AE44" s="67">
        <f t="shared" si="7"/>
        <v>0</v>
      </c>
      <c r="AG44" s="67">
        <v>0</v>
      </c>
      <c r="AH44" s="67">
        <v>0</v>
      </c>
      <c r="AI44" s="67">
        <v>0</v>
      </c>
      <c r="AJ44" s="67">
        <v>0</v>
      </c>
      <c r="AK44" s="83"/>
      <c r="AL44" s="67">
        <v>0</v>
      </c>
      <c r="AM44" s="108">
        <v>0</v>
      </c>
      <c r="AN44" s="83"/>
      <c r="AQ44" s="67"/>
      <c r="AR44" s="67">
        <f>SUM(M44:P44)</f>
        <v>0</v>
      </c>
      <c r="AS44" s="67">
        <f t="shared" si="9"/>
        <v>1421.4</v>
      </c>
      <c r="AT44" s="67">
        <v>0</v>
      </c>
      <c r="AU44" s="67">
        <v>0</v>
      </c>
      <c r="AV44" s="67">
        <f t="shared" si="6"/>
        <v>0</v>
      </c>
      <c r="AX44" s="75"/>
      <c r="AY44" s="75"/>
      <c r="AZ44" s="75"/>
      <c r="BA44" s="75"/>
      <c r="BB44" s="73"/>
      <c r="BC44" s="73"/>
    </row>
    <row r="45" spans="1:55" ht="14">
      <c r="A45" s="97" t="s">
        <v>174</v>
      </c>
      <c r="B45" s="92"/>
      <c r="C45" s="67"/>
      <c r="D45" s="67"/>
      <c r="G45" s="83"/>
      <c r="S45" s="67">
        <v>531.70000000000005</v>
      </c>
      <c r="T45" s="67">
        <v>0</v>
      </c>
      <c r="U45" s="67">
        <v>0</v>
      </c>
      <c r="W45" s="67">
        <v>0</v>
      </c>
      <c r="X45" s="67">
        <v>0</v>
      </c>
      <c r="Y45" s="67">
        <v>0</v>
      </c>
      <c r="Z45" s="67">
        <f t="shared" si="8"/>
        <v>0</v>
      </c>
      <c r="AB45" s="67">
        <v>0</v>
      </c>
      <c r="AC45" s="67">
        <v>0</v>
      </c>
      <c r="AD45" s="67">
        <v>0</v>
      </c>
      <c r="AE45" s="67">
        <f t="shared" si="7"/>
        <v>0</v>
      </c>
      <c r="AG45" s="67">
        <v>0</v>
      </c>
      <c r="AH45" s="67">
        <v>0</v>
      </c>
      <c r="AI45" s="67">
        <v>0</v>
      </c>
      <c r="AJ45" s="67">
        <v>0</v>
      </c>
      <c r="AK45" s="83"/>
      <c r="AL45" s="67">
        <v>0</v>
      </c>
      <c r="AM45" s="108">
        <v>0</v>
      </c>
      <c r="AN45" s="83"/>
      <c r="AQ45" s="67"/>
      <c r="AR45" s="67"/>
      <c r="AS45" s="67">
        <f t="shared" si="9"/>
        <v>531.70000000000005</v>
      </c>
      <c r="AT45" s="67">
        <v>0</v>
      </c>
      <c r="AU45" s="67">
        <v>0</v>
      </c>
      <c r="AV45" s="67">
        <f t="shared" si="6"/>
        <v>0</v>
      </c>
      <c r="AX45" s="75"/>
      <c r="AY45" s="75"/>
      <c r="AZ45" s="75"/>
      <c r="BA45" s="75"/>
      <c r="BB45" s="73"/>
      <c r="BC45" s="73"/>
    </row>
    <row r="46" spans="1:55" ht="14" hidden="1" outlineLevel="1">
      <c r="A46" s="97" t="s">
        <v>120</v>
      </c>
      <c r="B46" s="92"/>
      <c r="C46" s="67">
        <v>0</v>
      </c>
      <c r="D46" s="67">
        <v>263.8</v>
      </c>
      <c r="E46" s="67">
        <v>0</v>
      </c>
      <c r="F46" s="67">
        <v>0</v>
      </c>
      <c r="G46" s="83"/>
      <c r="H46" s="67">
        <v>0</v>
      </c>
      <c r="I46" s="67">
        <v>0</v>
      </c>
      <c r="J46" s="67">
        <v>0</v>
      </c>
      <c r="K46" s="67">
        <v>0</v>
      </c>
      <c r="M46" s="67">
        <v>0</v>
      </c>
      <c r="N46" s="67">
        <v>0</v>
      </c>
      <c r="O46" s="67">
        <v>0</v>
      </c>
      <c r="P46" s="67">
        <v>0</v>
      </c>
      <c r="R46" s="67">
        <v>0</v>
      </c>
      <c r="S46" s="67">
        <v>0</v>
      </c>
      <c r="T46" s="67">
        <v>0</v>
      </c>
      <c r="U46" s="67">
        <v>0</v>
      </c>
      <c r="W46" s="67">
        <v>0</v>
      </c>
      <c r="X46" s="67">
        <v>0</v>
      </c>
      <c r="Y46" s="67">
        <v>0</v>
      </c>
      <c r="Z46" s="67">
        <f t="shared" si="8"/>
        <v>0</v>
      </c>
      <c r="AB46" s="67">
        <v>0</v>
      </c>
      <c r="AE46" s="67">
        <f t="shared" si="7"/>
        <v>0</v>
      </c>
      <c r="AH46" s="67">
        <v>0</v>
      </c>
      <c r="AK46" s="83"/>
      <c r="AN46" s="83"/>
      <c r="AO46" s="67">
        <v>100</v>
      </c>
      <c r="AP46" s="67">
        <f>SUM(C46:F46)</f>
        <v>263.8</v>
      </c>
      <c r="AQ46" s="67">
        <f>SUM(H46:K46)</f>
        <v>0</v>
      </c>
      <c r="AR46" s="67">
        <f>SUM(M46:P46)</f>
        <v>0</v>
      </c>
      <c r="AS46" s="67">
        <f t="shared" si="9"/>
        <v>0</v>
      </c>
      <c r="AT46" s="67">
        <v>0</v>
      </c>
      <c r="AU46" s="67"/>
      <c r="AV46" s="67">
        <f t="shared" si="6"/>
        <v>0</v>
      </c>
      <c r="AX46" s="75"/>
      <c r="AY46" s="75"/>
      <c r="AZ46" s="75"/>
      <c r="BA46" s="75"/>
      <c r="BB46" s="73"/>
      <c r="BC46" s="73"/>
    </row>
    <row r="47" spans="1:55" ht="14" hidden="1" outlineLevel="1" collapsed="1">
      <c r="A47" s="97" t="s">
        <v>121</v>
      </c>
      <c r="B47" s="92"/>
      <c r="C47" s="67">
        <v>0</v>
      </c>
      <c r="D47" s="67">
        <v>75</v>
      </c>
      <c r="E47" s="67">
        <v>0</v>
      </c>
      <c r="F47" s="67">
        <v>0</v>
      </c>
      <c r="G47" s="83"/>
      <c r="H47" s="67">
        <v>0</v>
      </c>
      <c r="I47" s="67">
        <v>0</v>
      </c>
      <c r="J47" s="67">
        <v>0</v>
      </c>
      <c r="K47" s="67">
        <v>0</v>
      </c>
      <c r="M47" s="67">
        <v>0</v>
      </c>
      <c r="N47" s="67">
        <v>0</v>
      </c>
      <c r="O47" s="67">
        <v>0</v>
      </c>
      <c r="P47" s="67">
        <v>0</v>
      </c>
      <c r="R47" s="67">
        <v>0</v>
      </c>
      <c r="S47" s="67">
        <v>0</v>
      </c>
      <c r="T47" s="67">
        <v>0</v>
      </c>
      <c r="U47" s="67">
        <v>0</v>
      </c>
      <c r="W47" s="67">
        <v>0</v>
      </c>
      <c r="X47" s="67">
        <v>0</v>
      </c>
      <c r="Y47" s="67">
        <v>0</v>
      </c>
      <c r="Z47" s="67">
        <f t="shared" si="8"/>
        <v>0</v>
      </c>
      <c r="AB47" s="67">
        <v>0</v>
      </c>
      <c r="AE47" s="67">
        <f t="shared" si="7"/>
        <v>0</v>
      </c>
      <c r="AH47" s="67">
        <v>0</v>
      </c>
      <c r="AK47" s="83"/>
      <c r="AN47" s="83"/>
      <c r="AO47" s="67">
        <v>0</v>
      </c>
      <c r="AP47" s="67">
        <f>SUM(C47:F47)</f>
        <v>75</v>
      </c>
      <c r="AQ47" s="67">
        <f>SUM(H47:K47)</f>
        <v>0</v>
      </c>
      <c r="AR47" s="67">
        <f>SUM(M47:P47)</f>
        <v>0</v>
      </c>
      <c r="AS47" s="67">
        <f t="shared" si="9"/>
        <v>0</v>
      </c>
      <c r="AT47" s="67">
        <v>0</v>
      </c>
      <c r="AU47" s="67"/>
      <c r="AV47" s="67">
        <f t="shared" si="6"/>
        <v>0</v>
      </c>
      <c r="AX47" s="75"/>
      <c r="AY47" s="75"/>
      <c r="AZ47" s="75"/>
      <c r="BA47" s="75"/>
      <c r="BB47" s="73"/>
      <c r="BC47" s="73"/>
    </row>
    <row r="48" spans="1:55" ht="14" collapsed="1">
      <c r="A48" s="66" t="s">
        <v>122</v>
      </c>
      <c r="B48" s="92"/>
      <c r="C48" s="67"/>
      <c r="D48" s="67"/>
      <c r="G48" s="83"/>
      <c r="O48" s="67">
        <v>0</v>
      </c>
      <c r="AK48" s="83"/>
      <c r="AN48" s="83"/>
      <c r="AP48" s="67">
        <f>SUM(C48:F48)</f>
        <v>0</v>
      </c>
      <c r="AQ48" s="67">
        <f>SUM(H48:K48)</f>
        <v>0</v>
      </c>
      <c r="AR48" s="67">
        <f>SUM(M48:P48)</f>
        <v>0</v>
      </c>
      <c r="AS48" s="67"/>
      <c r="AT48" s="67">
        <v>0</v>
      </c>
      <c r="AU48" s="67"/>
      <c r="AV48" s="67">
        <f t="shared" si="6"/>
        <v>0</v>
      </c>
      <c r="AX48" s="75"/>
      <c r="AY48" s="75"/>
      <c r="AZ48" s="75"/>
      <c r="BA48" s="75"/>
      <c r="BB48" s="73"/>
      <c r="BC48" s="73"/>
    </row>
    <row r="49" spans="1:55" ht="14">
      <c r="A49" s="97" t="s">
        <v>223</v>
      </c>
      <c r="B49" s="92"/>
      <c r="C49" s="67"/>
      <c r="D49" s="67"/>
      <c r="G49" s="83"/>
      <c r="AI49" s="67">
        <v>-849.8</v>
      </c>
      <c r="AK49" s="83"/>
      <c r="AM49" s="108">
        <v>0</v>
      </c>
      <c r="AN49" s="83"/>
      <c r="AQ49" s="67"/>
      <c r="AR49" s="67"/>
      <c r="AS49" s="67"/>
      <c r="AT49" s="67"/>
      <c r="AU49" s="67"/>
      <c r="AV49" s="67">
        <f t="shared" si="6"/>
        <v>-849.8</v>
      </c>
      <c r="AX49" s="75"/>
      <c r="AY49" s="75"/>
      <c r="AZ49" s="75"/>
      <c r="BA49" s="75"/>
      <c r="BB49" s="73"/>
      <c r="BC49" s="73"/>
    </row>
    <row r="50" spans="1:55" ht="14">
      <c r="A50" s="97" t="s">
        <v>165</v>
      </c>
      <c r="B50" s="92"/>
      <c r="C50" s="67">
        <v>0</v>
      </c>
      <c r="D50" s="67">
        <v>0</v>
      </c>
      <c r="E50" s="67">
        <v>0</v>
      </c>
      <c r="F50" s="67">
        <v>0</v>
      </c>
      <c r="G50" s="83"/>
      <c r="H50" s="67">
        <v>0</v>
      </c>
      <c r="I50" s="67">
        <v>0</v>
      </c>
      <c r="J50" s="67">
        <v>0</v>
      </c>
      <c r="K50" s="67">
        <v>0</v>
      </c>
      <c r="M50" s="67">
        <v>0</v>
      </c>
      <c r="N50" s="67">
        <v>0</v>
      </c>
      <c r="O50" s="67">
        <v>0</v>
      </c>
      <c r="P50" s="67">
        <v>0</v>
      </c>
      <c r="Q50" s="67">
        <v>0</v>
      </c>
      <c r="R50" s="67">
        <v>0</v>
      </c>
      <c r="S50" s="67">
        <v>-275</v>
      </c>
      <c r="T50" s="67">
        <v>0</v>
      </c>
      <c r="U50" s="67">
        <v>0</v>
      </c>
      <c r="W50" s="67">
        <v>0</v>
      </c>
      <c r="X50" s="67">
        <v>0</v>
      </c>
      <c r="Y50" s="67">
        <v>0</v>
      </c>
      <c r="Z50" s="67">
        <f>AT50-SUM(W50:Y50)</f>
        <v>0</v>
      </c>
      <c r="AB50" s="67">
        <v>0</v>
      </c>
      <c r="AC50" s="67">
        <v>0</v>
      </c>
      <c r="AD50" s="67">
        <v>0</v>
      </c>
      <c r="AE50" s="67">
        <f t="shared" ref="AE50:AE58" si="10">AU50-SUM(AB50:AD50)</f>
        <v>0</v>
      </c>
      <c r="AG50" s="67">
        <v>0</v>
      </c>
      <c r="AH50" s="67">
        <v>0</v>
      </c>
      <c r="AI50" s="67">
        <v>0</v>
      </c>
      <c r="AK50" s="83"/>
      <c r="AL50" s="67">
        <v>0</v>
      </c>
      <c r="AM50" s="108">
        <v>0</v>
      </c>
      <c r="AN50" s="83"/>
      <c r="AQ50" s="67"/>
      <c r="AR50" s="67"/>
      <c r="AS50" s="67">
        <f>SUM(R50:U50)</f>
        <v>-275</v>
      </c>
      <c r="AT50" s="67">
        <v>0</v>
      </c>
      <c r="AU50" s="67"/>
      <c r="AV50" s="67">
        <f t="shared" si="6"/>
        <v>0</v>
      </c>
      <c r="AX50" s="75"/>
      <c r="AY50" s="75"/>
      <c r="AZ50" s="75"/>
      <c r="BA50" s="75"/>
      <c r="BB50" s="73"/>
      <c r="BC50" s="73"/>
    </row>
    <row r="51" spans="1:55" ht="14">
      <c r="A51" s="97" t="s">
        <v>207</v>
      </c>
      <c r="B51" s="92"/>
      <c r="C51" s="67"/>
      <c r="D51" s="67"/>
      <c r="G51" s="83"/>
      <c r="R51" s="67">
        <v>0</v>
      </c>
      <c r="S51" s="67">
        <v>0</v>
      </c>
      <c r="T51" s="67">
        <v>0</v>
      </c>
      <c r="U51" s="67">
        <v>0</v>
      </c>
      <c r="V51" s="67">
        <v>0</v>
      </c>
      <c r="W51" s="67">
        <v>0</v>
      </c>
      <c r="X51" s="67">
        <v>0</v>
      </c>
      <c r="Y51" s="67">
        <v>0</v>
      </c>
      <c r="Z51" s="67">
        <v>0</v>
      </c>
      <c r="AA51" s="67">
        <v>0</v>
      </c>
      <c r="AB51" s="67">
        <v>0</v>
      </c>
      <c r="AC51" s="67">
        <v>0</v>
      </c>
      <c r="AD51" s="67">
        <v>-399.6</v>
      </c>
      <c r="AE51" s="67">
        <f t="shared" si="10"/>
        <v>-59</v>
      </c>
      <c r="AG51" s="67">
        <v>-315.7</v>
      </c>
      <c r="AH51" s="67">
        <v>-226.00000000000006</v>
      </c>
      <c r="AI51" s="67">
        <v>0</v>
      </c>
      <c r="AK51" s="83"/>
      <c r="AL51" s="67">
        <v>-180.1</v>
      </c>
      <c r="AM51" s="108">
        <v>-95.8</v>
      </c>
      <c r="AN51" s="83"/>
      <c r="AQ51" s="67"/>
      <c r="AR51" s="67"/>
      <c r="AS51" s="67"/>
      <c r="AT51" s="67"/>
      <c r="AU51" s="67">
        <v>-458.6</v>
      </c>
      <c r="AV51" s="67">
        <f t="shared" si="6"/>
        <v>-541.70000000000005</v>
      </c>
      <c r="AX51" s="75"/>
      <c r="AY51" s="75"/>
      <c r="AZ51" s="75"/>
      <c r="BA51" s="75"/>
      <c r="BB51" s="73"/>
      <c r="BC51" s="73"/>
    </row>
    <row r="52" spans="1:55" ht="14">
      <c r="A52" s="97" t="s">
        <v>123</v>
      </c>
      <c r="B52" s="92"/>
      <c r="C52" s="67">
        <v>0</v>
      </c>
      <c r="D52" s="67">
        <v>-348.5</v>
      </c>
      <c r="E52" s="67">
        <v>-0.5</v>
      </c>
      <c r="F52" s="67">
        <v>0</v>
      </c>
      <c r="G52" s="83"/>
      <c r="H52" s="67">
        <v>0</v>
      </c>
      <c r="I52" s="67">
        <v>0</v>
      </c>
      <c r="J52" s="67">
        <v>0</v>
      </c>
      <c r="K52" s="67">
        <v>-0.8</v>
      </c>
      <c r="M52" s="67">
        <v>-5.0999999999999996</v>
      </c>
      <c r="N52" s="67">
        <v>-5.7</v>
      </c>
      <c r="O52" s="67">
        <v>0</v>
      </c>
      <c r="P52" s="67">
        <v>-8</v>
      </c>
      <c r="R52" s="67">
        <v>-7</v>
      </c>
      <c r="S52" s="67">
        <v>-3</v>
      </c>
      <c r="U52" s="67">
        <v>0</v>
      </c>
      <c r="W52" s="67">
        <v>0</v>
      </c>
      <c r="X52" s="67">
        <v>0</v>
      </c>
      <c r="Y52" s="67">
        <v>0</v>
      </c>
      <c r="Z52" s="67">
        <f t="shared" ref="Z52:Z58" si="11">AT52-SUM(W52:Y52)</f>
        <v>0</v>
      </c>
      <c r="AB52" s="67">
        <v>0</v>
      </c>
      <c r="AC52" s="67">
        <v>0</v>
      </c>
      <c r="AD52" s="67">
        <v>0</v>
      </c>
      <c r="AE52" s="67">
        <f t="shared" si="10"/>
        <v>0</v>
      </c>
      <c r="AG52" s="67">
        <v>0</v>
      </c>
      <c r="AH52" s="67">
        <v>0</v>
      </c>
      <c r="AI52" s="67">
        <v>0</v>
      </c>
      <c r="AK52" s="83"/>
      <c r="AL52" s="67">
        <v>0</v>
      </c>
      <c r="AN52" s="83"/>
      <c r="AO52" s="67">
        <v>0</v>
      </c>
      <c r="AP52" s="67">
        <f>SUM(C52:F52)</f>
        <v>-349</v>
      </c>
      <c r="AQ52" s="67">
        <f t="shared" ref="AQ52:AQ58" si="12">SUM(H52:K52)</f>
        <v>-0.8</v>
      </c>
      <c r="AR52" s="67">
        <f t="shared" ref="AR52:AR58" si="13">SUM(M52:P52)</f>
        <v>-18.8</v>
      </c>
      <c r="AS52" s="67">
        <f t="shared" ref="AS52:AS58" si="14">SUM(R52:U52)</f>
        <v>-10</v>
      </c>
      <c r="AT52" s="67">
        <v>0</v>
      </c>
      <c r="AU52" s="67">
        <v>0</v>
      </c>
      <c r="AV52" s="67">
        <f t="shared" si="6"/>
        <v>0</v>
      </c>
      <c r="AX52" s="75"/>
      <c r="AY52" s="75"/>
      <c r="AZ52" s="75"/>
      <c r="BA52" s="75"/>
      <c r="BB52" s="73"/>
      <c r="BC52" s="73"/>
    </row>
    <row r="53" spans="1:55" ht="14" hidden="1" outlineLevel="1">
      <c r="A53" s="97" t="s">
        <v>83</v>
      </c>
      <c r="B53" s="92"/>
      <c r="C53" s="67">
        <v>0</v>
      </c>
      <c r="D53" s="67">
        <v>0</v>
      </c>
      <c r="E53" s="67">
        <v>0</v>
      </c>
      <c r="F53" s="67">
        <v>0</v>
      </c>
      <c r="G53" s="83"/>
      <c r="H53" s="67">
        <v>0</v>
      </c>
      <c r="I53" s="67">
        <v>-300</v>
      </c>
      <c r="J53" s="67">
        <v>0</v>
      </c>
      <c r="K53" s="67">
        <v>0</v>
      </c>
      <c r="M53" s="67">
        <v>0</v>
      </c>
      <c r="N53" s="67">
        <v>0</v>
      </c>
      <c r="O53" s="67">
        <v>0</v>
      </c>
      <c r="P53" s="67">
        <v>0</v>
      </c>
      <c r="R53" s="67">
        <v>0</v>
      </c>
      <c r="S53" s="67">
        <v>0</v>
      </c>
      <c r="T53" s="67">
        <v>0</v>
      </c>
      <c r="W53" s="67">
        <v>0</v>
      </c>
      <c r="X53" s="67">
        <v>0</v>
      </c>
      <c r="Y53" s="67">
        <v>0</v>
      </c>
      <c r="Z53" s="67">
        <f t="shared" si="11"/>
        <v>0</v>
      </c>
      <c r="AB53" s="67">
        <v>0</v>
      </c>
      <c r="AE53" s="67">
        <f t="shared" si="10"/>
        <v>0</v>
      </c>
      <c r="AH53" s="67">
        <v>0</v>
      </c>
      <c r="AI53" s="67">
        <v>0</v>
      </c>
      <c r="AK53" s="83"/>
      <c r="AN53" s="83"/>
      <c r="AO53" s="67">
        <v>0</v>
      </c>
      <c r="AP53" s="67">
        <f>SUM(C53:F53)</f>
        <v>0</v>
      </c>
      <c r="AQ53" s="67">
        <f t="shared" si="12"/>
        <v>-300</v>
      </c>
      <c r="AR53" s="67">
        <f t="shared" si="13"/>
        <v>0</v>
      </c>
      <c r="AS53" s="67">
        <f t="shared" si="14"/>
        <v>0</v>
      </c>
      <c r="AT53" s="67">
        <v>0</v>
      </c>
      <c r="AU53" s="67"/>
      <c r="AV53" s="67">
        <f t="shared" si="6"/>
        <v>0</v>
      </c>
      <c r="AX53" s="75"/>
      <c r="AY53" s="75"/>
      <c r="AZ53" s="75"/>
      <c r="BA53" s="75"/>
      <c r="BB53" s="73"/>
      <c r="BC53" s="73"/>
    </row>
    <row r="54" spans="1:55" ht="14" hidden="1" outlineLevel="1">
      <c r="A54" s="97" t="s">
        <v>84</v>
      </c>
      <c r="B54" s="92"/>
      <c r="C54" s="67">
        <v>0</v>
      </c>
      <c r="D54" s="67">
        <v>0</v>
      </c>
      <c r="E54" s="67">
        <v>0</v>
      </c>
      <c r="F54" s="67">
        <v>0</v>
      </c>
      <c r="G54" s="83"/>
      <c r="H54" s="67">
        <v>0</v>
      </c>
      <c r="I54" s="67">
        <v>-75</v>
      </c>
      <c r="J54" s="67">
        <v>0</v>
      </c>
      <c r="K54" s="67">
        <v>0</v>
      </c>
      <c r="M54" s="67">
        <v>0</v>
      </c>
      <c r="N54" s="67">
        <v>0</v>
      </c>
      <c r="O54" s="67">
        <v>0</v>
      </c>
      <c r="P54" s="67">
        <v>0</v>
      </c>
      <c r="R54" s="67">
        <v>0</v>
      </c>
      <c r="S54" s="67">
        <v>0</v>
      </c>
      <c r="T54" s="67">
        <v>0</v>
      </c>
      <c r="W54" s="67">
        <v>0</v>
      </c>
      <c r="X54" s="67">
        <v>0</v>
      </c>
      <c r="Y54" s="67">
        <v>0</v>
      </c>
      <c r="Z54" s="67">
        <f t="shared" si="11"/>
        <v>0</v>
      </c>
      <c r="AB54" s="67">
        <v>0</v>
      </c>
      <c r="AE54" s="67">
        <f t="shared" si="10"/>
        <v>0</v>
      </c>
      <c r="AH54" s="67">
        <v>0</v>
      </c>
      <c r="AI54" s="67">
        <v>0</v>
      </c>
      <c r="AK54" s="83"/>
      <c r="AN54" s="83"/>
      <c r="AO54" s="67">
        <v>0</v>
      </c>
      <c r="AP54" s="67">
        <f>SUM(C54:F54)</f>
        <v>0</v>
      </c>
      <c r="AQ54" s="67">
        <f t="shared" si="12"/>
        <v>-75</v>
      </c>
      <c r="AR54" s="67">
        <f t="shared" si="13"/>
        <v>0</v>
      </c>
      <c r="AS54" s="67">
        <f t="shared" si="14"/>
        <v>0</v>
      </c>
      <c r="AT54" s="67">
        <v>0</v>
      </c>
      <c r="AU54" s="67"/>
      <c r="AV54" s="67">
        <f t="shared" si="6"/>
        <v>0</v>
      </c>
      <c r="AX54" s="75"/>
      <c r="AY54" s="75"/>
      <c r="AZ54" s="75"/>
      <c r="BA54" s="75"/>
      <c r="BB54" s="73"/>
      <c r="BC54" s="73"/>
    </row>
    <row r="55" spans="1:55" ht="14" collapsed="1">
      <c r="A55" s="97" t="s">
        <v>177</v>
      </c>
      <c r="B55" s="92"/>
      <c r="C55" s="67">
        <v>0</v>
      </c>
      <c r="D55" s="67">
        <v>0</v>
      </c>
      <c r="E55" s="67">
        <v>0</v>
      </c>
      <c r="F55" s="67">
        <v>0</v>
      </c>
      <c r="G55" s="83">
        <v>0</v>
      </c>
      <c r="H55" s="67">
        <v>0</v>
      </c>
      <c r="I55" s="67">
        <v>0</v>
      </c>
      <c r="J55" s="67">
        <v>0</v>
      </c>
      <c r="K55" s="67">
        <v>0</v>
      </c>
      <c r="L55" s="67">
        <v>0</v>
      </c>
      <c r="M55" s="67">
        <v>0</v>
      </c>
      <c r="N55" s="67">
        <v>0</v>
      </c>
      <c r="O55" s="67">
        <v>0</v>
      </c>
      <c r="P55" s="67">
        <v>0</v>
      </c>
      <c r="Q55" s="67">
        <v>0</v>
      </c>
      <c r="R55" s="67">
        <v>0</v>
      </c>
      <c r="S55" s="67">
        <v>0</v>
      </c>
      <c r="T55" s="67">
        <v>-596.6</v>
      </c>
      <c r="U55" s="67">
        <v>0</v>
      </c>
      <c r="W55" s="67">
        <v>0</v>
      </c>
      <c r="X55" s="67">
        <v>0</v>
      </c>
      <c r="Y55" s="67">
        <v>0</v>
      </c>
      <c r="Z55" s="67">
        <f t="shared" si="11"/>
        <v>0</v>
      </c>
      <c r="AB55" s="67">
        <v>0</v>
      </c>
      <c r="AC55" s="67">
        <v>0</v>
      </c>
      <c r="AD55" s="67">
        <v>0</v>
      </c>
      <c r="AE55" s="67">
        <f t="shared" si="10"/>
        <v>0</v>
      </c>
      <c r="AG55" s="67">
        <v>0</v>
      </c>
      <c r="AH55" s="67">
        <v>0</v>
      </c>
      <c r="AI55" s="67">
        <v>0</v>
      </c>
      <c r="AK55" s="83"/>
      <c r="AL55" s="67">
        <v>0</v>
      </c>
      <c r="AM55" s="108">
        <v>0</v>
      </c>
      <c r="AN55" s="83"/>
      <c r="AP55" s="67">
        <v>0</v>
      </c>
      <c r="AQ55" s="67">
        <f t="shared" si="12"/>
        <v>0</v>
      </c>
      <c r="AR55" s="67">
        <f t="shared" si="13"/>
        <v>0</v>
      </c>
      <c r="AS55" s="67">
        <f t="shared" si="14"/>
        <v>-596.6</v>
      </c>
      <c r="AT55" s="67">
        <v>0</v>
      </c>
      <c r="AU55" s="67">
        <v>0</v>
      </c>
      <c r="AV55" s="67">
        <f t="shared" si="6"/>
        <v>0</v>
      </c>
      <c r="AX55" s="75"/>
      <c r="AY55" s="75"/>
      <c r="AZ55" s="75"/>
      <c r="BA55" s="75"/>
      <c r="BB55" s="73"/>
      <c r="BC55" s="73"/>
    </row>
    <row r="56" spans="1:55" ht="14">
      <c r="A56" s="97" t="s">
        <v>184</v>
      </c>
      <c r="B56" s="92"/>
      <c r="C56" s="67">
        <v>-2.1</v>
      </c>
      <c r="D56" s="67">
        <v>0</v>
      </c>
      <c r="E56" s="67">
        <v>-2.8000000000000003</v>
      </c>
      <c r="F56" s="67">
        <v>-2.6999999999999993</v>
      </c>
      <c r="G56" s="83"/>
      <c r="H56" s="67">
        <v>-2.8</v>
      </c>
      <c r="I56" s="67">
        <v>-2.7</v>
      </c>
      <c r="J56" s="67">
        <v>-2.7</v>
      </c>
      <c r="K56" s="67">
        <v>-2.8</v>
      </c>
      <c r="M56" s="67">
        <v>-2.8</v>
      </c>
      <c r="N56" s="67">
        <v>-2.7</v>
      </c>
      <c r="O56" s="67">
        <v>-2.7</v>
      </c>
      <c r="P56" s="67">
        <v>-2.8</v>
      </c>
      <c r="R56" s="67">
        <v>0</v>
      </c>
      <c r="S56" s="67">
        <v>-2.7</v>
      </c>
      <c r="T56" s="67">
        <f>-9-S56</f>
        <v>-6.3</v>
      </c>
      <c r="U56" s="67">
        <v>-6.3</v>
      </c>
      <c r="W56" s="67">
        <v>-6.2</v>
      </c>
      <c r="X56" s="67">
        <v>-6.3</v>
      </c>
      <c r="Y56" s="67">
        <f>-18.7-W56-X56</f>
        <v>-6.2</v>
      </c>
      <c r="Z56" s="67">
        <f t="shared" si="11"/>
        <v>-6.3000000000000007</v>
      </c>
      <c r="AB56" s="67">
        <v>-6.2</v>
      </c>
      <c r="AC56" s="67">
        <v>-606.29999999999995</v>
      </c>
      <c r="AD56" s="67">
        <v>-6.2</v>
      </c>
      <c r="AE56" s="67">
        <f t="shared" si="10"/>
        <v>-6.2999999999999545</v>
      </c>
      <c r="AG56" s="67">
        <v>-6.2</v>
      </c>
      <c r="AH56" s="67">
        <v>-6.3</v>
      </c>
      <c r="AI56" s="67">
        <v>-8.1000000000000014</v>
      </c>
      <c r="AJ56" s="67">
        <v>-8.1</v>
      </c>
      <c r="AK56" s="83"/>
      <c r="AL56" s="67">
        <v>-8.1</v>
      </c>
      <c r="AM56" s="108">
        <v>-8.1</v>
      </c>
      <c r="AN56" s="83"/>
      <c r="AO56" s="67">
        <v>-7.8</v>
      </c>
      <c r="AP56" s="67">
        <f>SUM(C56:F56)</f>
        <v>-7.6</v>
      </c>
      <c r="AQ56" s="67">
        <f t="shared" si="12"/>
        <v>-11</v>
      </c>
      <c r="AR56" s="67">
        <f t="shared" si="13"/>
        <v>-11</v>
      </c>
      <c r="AS56" s="67">
        <f t="shared" si="14"/>
        <v>-15.3</v>
      </c>
      <c r="AT56" s="67">
        <v>-25</v>
      </c>
      <c r="AU56" s="67">
        <v>-625</v>
      </c>
      <c r="AV56" s="67">
        <f t="shared" si="6"/>
        <v>-28.700000000000003</v>
      </c>
      <c r="AX56" s="75"/>
      <c r="AY56" s="75"/>
      <c r="AZ56" s="75"/>
      <c r="BA56" s="75"/>
      <c r="BB56" s="73"/>
      <c r="BC56" s="73"/>
    </row>
    <row r="57" spans="1:55" ht="14">
      <c r="A57" s="97" t="s">
        <v>124</v>
      </c>
      <c r="B57" s="92"/>
      <c r="C57" s="67">
        <v>0</v>
      </c>
      <c r="D57" s="67">
        <v>-8</v>
      </c>
      <c r="E57" s="67">
        <v>-0.40000000000000036</v>
      </c>
      <c r="F57" s="67">
        <v>0</v>
      </c>
      <c r="G57" s="83"/>
      <c r="H57" s="67">
        <v>0</v>
      </c>
      <c r="I57" s="67">
        <v>-13.5</v>
      </c>
      <c r="J57" s="67">
        <v>0</v>
      </c>
      <c r="K57" s="67">
        <v>0</v>
      </c>
      <c r="M57" s="67">
        <v>0</v>
      </c>
      <c r="N57" s="67">
        <v>0</v>
      </c>
      <c r="O57" s="67">
        <v>0</v>
      </c>
      <c r="P57" s="67">
        <v>0</v>
      </c>
      <c r="R57" s="67">
        <v>-9.1</v>
      </c>
      <c r="S57" s="67">
        <v>-29.8</v>
      </c>
      <c r="T57" s="67">
        <f>-38.9-S57-R57</f>
        <v>0</v>
      </c>
      <c r="U57" s="67">
        <v>-0.8</v>
      </c>
      <c r="W57" s="67">
        <v>0</v>
      </c>
      <c r="X57" s="67">
        <v>0</v>
      </c>
      <c r="Y57" s="67">
        <v>0</v>
      </c>
      <c r="Z57" s="67">
        <f t="shared" si="11"/>
        <v>0</v>
      </c>
      <c r="AB57" s="67">
        <v>0</v>
      </c>
      <c r="AC57" s="67">
        <v>-10.9</v>
      </c>
      <c r="AD57" s="67">
        <v>-2.2000000000000002</v>
      </c>
      <c r="AE57" s="67">
        <f t="shared" si="10"/>
        <v>-9.9999999999997868E-2</v>
      </c>
      <c r="AG57" s="67">
        <v>0</v>
      </c>
      <c r="AH57" s="67">
        <v>0</v>
      </c>
      <c r="AI57" s="67">
        <v>0</v>
      </c>
      <c r="AJ57" s="67">
        <v>0</v>
      </c>
      <c r="AK57" s="83"/>
      <c r="AL57" s="67">
        <v>0</v>
      </c>
      <c r="AM57" s="108">
        <v>0</v>
      </c>
      <c r="AN57" s="83"/>
      <c r="AO57" s="67">
        <v>-4.0999999999999996</v>
      </c>
      <c r="AP57" s="67">
        <f>SUM(C57:F57)</f>
        <v>-8.4</v>
      </c>
      <c r="AQ57" s="67">
        <f t="shared" si="12"/>
        <v>-13.5</v>
      </c>
      <c r="AR57" s="67">
        <f t="shared" si="13"/>
        <v>0</v>
      </c>
      <c r="AS57" s="67">
        <f t="shared" si="14"/>
        <v>-39.699999999999996</v>
      </c>
      <c r="AT57" s="67">
        <v>0</v>
      </c>
      <c r="AU57" s="67">
        <v>-13.2</v>
      </c>
      <c r="AV57" s="67">
        <f t="shared" si="6"/>
        <v>0</v>
      </c>
      <c r="AX57" s="75"/>
      <c r="AY57" s="75"/>
      <c r="AZ57" s="75"/>
      <c r="BA57" s="75"/>
      <c r="BB57" s="73"/>
      <c r="BC57" s="73"/>
    </row>
    <row r="58" spans="1:55" ht="14">
      <c r="A58" s="97" t="s">
        <v>200</v>
      </c>
      <c r="B58" s="92"/>
      <c r="C58" s="95">
        <v>-0.5</v>
      </c>
      <c r="D58" s="95">
        <v>-0.7</v>
      </c>
      <c r="E58" s="95">
        <v>-1.0000000000000002</v>
      </c>
      <c r="F58" s="95">
        <v>-1.8999999999999995</v>
      </c>
      <c r="G58" s="83"/>
      <c r="H58" s="95">
        <v>-1.6</v>
      </c>
      <c r="I58" s="95">
        <v>-1.7999999999999998</v>
      </c>
      <c r="J58" s="95">
        <v>-4</v>
      </c>
      <c r="K58" s="95">
        <f>-3.2-1.3</f>
        <v>-4.5</v>
      </c>
      <c r="L58" s="83"/>
      <c r="M58" s="95">
        <f>-2.7-1.5</f>
        <v>-4.2</v>
      </c>
      <c r="N58" s="95">
        <v>-3.4</v>
      </c>
      <c r="O58" s="95">
        <v>-2.7</v>
      </c>
      <c r="P58" s="95">
        <f>-5.3+0.5</f>
        <v>-4.8</v>
      </c>
      <c r="Q58" s="83"/>
      <c r="R58" s="95">
        <v>-2.7</v>
      </c>
      <c r="S58" s="95">
        <v>-3.5</v>
      </c>
      <c r="T58" s="95">
        <f>-8.8-S58-R58</f>
        <v>-2.6000000000000005</v>
      </c>
      <c r="U58" s="95">
        <f>-10.4+8.8</f>
        <v>-1.5999999999999996</v>
      </c>
      <c r="V58" s="83"/>
      <c r="W58" s="95">
        <v>-2.6</v>
      </c>
      <c r="X58" s="95">
        <v>-10.6</v>
      </c>
      <c r="Y58" s="95">
        <f>-14-W58-X58</f>
        <v>-0.80000000000000071</v>
      </c>
      <c r="Z58" s="95">
        <f t="shared" si="11"/>
        <v>-3.1000000000000014</v>
      </c>
      <c r="AA58" s="83"/>
      <c r="AB58" s="95">
        <f>-22.2-1.1</f>
        <v>-23.3</v>
      </c>
      <c r="AC58" s="95">
        <v>-12.3</v>
      </c>
      <c r="AD58" s="95">
        <v>-3</v>
      </c>
      <c r="AE58" s="95">
        <f t="shared" si="10"/>
        <v>-20.699999999999996</v>
      </c>
      <c r="AF58" s="83"/>
      <c r="AG58" s="95">
        <v>-0.7</v>
      </c>
      <c r="AH58" s="95">
        <v>-1.1000000000000001</v>
      </c>
      <c r="AI58" s="95">
        <v>-12.700000000000001</v>
      </c>
      <c r="AJ58" s="95">
        <v>-0.6</v>
      </c>
      <c r="AK58" s="83"/>
      <c r="AL58" s="95">
        <v>-9.6999999999999993</v>
      </c>
      <c r="AM58" s="189">
        <v>-2.8</v>
      </c>
      <c r="AN58" s="83"/>
      <c r="AO58" s="95">
        <v>-0.3</v>
      </c>
      <c r="AP58" s="95">
        <f>SUM(C58:F58)</f>
        <v>-4.0999999999999996</v>
      </c>
      <c r="AQ58" s="95">
        <f t="shared" si="12"/>
        <v>-11.9</v>
      </c>
      <c r="AR58" s="95">
        <f t="shared" si="13"/>
        <v>-15.100000000000001</v>
      </c>
      <c r="AS58" s="95">
        <f t="shared" si="14"/>
        <v>-10.4</v>
      </c>
      <c r="AT58" s="95">
        <v>-17.100000000000001</v>
      </c>
      <c r="AU58" s="95">
        <f>-4.5-54.8</f>
        <v>-59.3</v>
      </c>
      <c r="AV58" s="95">
        <f>SUM(AG58:AJ58)</f>
        <v>-15.100000000000001</v>
      </c>
      <c r="AX58" s="75"/>
      <c r="AY58" s="75"/>
      <c r="AZ58" s="75"/>
      <c r="BA58" s="75"/>
      <c r="BB58" s="73"/>
      <c r="BC58" s="73"/>
    </row>
    <row r="59" spans="1:55" s="104" customFormat="1" ht="14">
      <c r="A59" s="92" t="s">
        <v>85</v>
      </c>
      <c r="B59" s="92"/>
      <c r="C59" s="130">
        <f>SUM(C37:C58)</f>
        <v>-0.30000000000000027</v>
      </c>
      <c r="D59" s="130">
        <f>SUM(D37:D58)</f>
        <v>-19.000000000000011</v>
      </c>
      <c r="E59" s="130">
        <f>SUM(E37:E58)</f>
        <v>-5.2000000000000011</v>
      </c>
      <c r="F59" s="130">
        <f>SUM(F37:F58)</f>
        <v>-5.1999999999999993</v>
      </c>
      <c r="G59" s="126"/>
      <c r="H59" s="130">
        <f>SUM(H37:H58)</f>
        <v>-6.9</v>
      </c>
      <c r="I59" s="130">
        <f>SUM(I37:I58)</f>
        <v>92.899999999999977</v>
      </c>
      <c r="J59" s="130">
        <f>SUM(J37:J58)</f>
        <v>-6.5</v>
      </c>
      <c r="K59" s="130">
        <f>SUM(K37:K58)</f>
        <v>14.899999999999999</v>
      </c>
      <c r="L59" s="130"/>
      <c r="M59" s="130">
        <f>SUM(M37:M58)</f>
        <v>-5.6999999999999993</v>
      </c>
      <c r="N59" s="130">
        <f>SUM(N37:N58)</f>
        <v>5.0999999999999996</v>
      </c>
      <c r="O59" s="130">
        <f>SUM(O37:O58)</f>
        <v>17.200000000000003</v>
      </c>
      <c r="P59" s="130">
        <f>SUM(P37:P58)</f>
        <v>-1.5</v>
      </c>
      <c r="Q59" s="130"/>
      <c r="R59" s="130">
        <f>SUM(R37:R58)</f>
        <v>-4.8999999999999995</v>
      </c>
      <c r="S59" s="130">
        <f>SUM(S37:S58)</f>
        <v>1689.4</v>
      </c>
      <c r="T59" s="130">
        <f>SUM(T37:T58)</f>
        <v>-590.5</v>
      </c>
      <c r="U59" s="130">
        <f>SUM(U37:U58)</f>
        <v>13.500000000000002</v>
      </c>
      <c r="V59" s="130"/>
      <c r="W59" s="130">
        <f>SUM(W37:W58)</f>
        <v>11.9</v>
      </c>
      <c r="X59" s="130">
        <f>SUM(X37:X58)</f>
        <v>9.9999999999999982</v>
      </c>
      <c r="Y59" s="130">
        <f>SUM(Y37:Y58)</f>
        <v>12.099999999999994</v>
      </c>
      <c r="Z59" s="130">
        <f>SUM(Z37:Z58)</f>
        <v>13.000000000000004</v>
      </c>
      <c r="AA59" s="130"/>
      <c r="AB59" s="130">
        <f>SUM(AB37:AB58)</f>
        <v>-11.899999999999999</v>
      </c>
      <c r="AC59" s="130">
        <f>SUM(AC37:AC58)</f>
        <v>6.5000000000000462</v>
      </c>
      <c r="AD59" s="130">
        <f>SUM(AD37:AD58)</f>
        <v>-402</v>
      </c>
      <c r="AE59" s="130">
        <f>SUM(AE37:AE58)</f>
        <v>-49.499999999999943</v>
      </c>
      <c r="AF59" s="130"/>
      <c r="AG59" s="130">
        <f>SUM(AG37:AG58)</f>
        <v>-307.29999999999995</v>
      </c>
      <c r="AH59" s="130">
        <f>SUM(AH37:AH58)</f>
        <v>-186.70000000000007</v>
      </c>
      <c r="AI59" s="130">
        <f>SUM(AI37:AI58)</f>
        <v>-110.09999999999995</v>
      </c>
      <c r="AJ59" s="130">
        <f>SUM(AJ37:AJ58)</f>
        <v>22.4</v>
      </c>
      <c r="AK59" s="126"/>
      <c r="AL59" s="130">
        <f>SUM(AL37:AL58)</f>
        <v>613.69999999999993</v>
      </c>
      <c r="AM59" s="216">
        <f>SUM(AM37:AM58)</f>
        <v>-74.099999999999994</v>
      </c>
      <c r="AN59" s="126"/>
      <c r="AO59" s="130">
        <f t="shared" ref="AO59:AU59" si="15">SUM(AO37:AO58)</f>
        <v>91.100000000000009</v>
      </c>
      <c r="AP59" s="130">
        <f t="shared" si="15"/>
        <v>-29.699999999999967</v>
      </c>
      <c r="AQ59" s="130">
        <f t="shared" si="15"/>
        <v>94.399999999999949</v>
      </c>
      <c r="AR59" s="130">
        <f t="shared" si="15"/>
        <v>15.100000000000001</v>
      </c>
      <c r="AS59" s="130">
        <f t="shared" si="15"/>
        <v>1107.5</v>
      </c>
      <c r="AT59" s="130">
        <f t="shared" si="15"/>
        <v>46.999999999999993</v>
      </c>
      <c r="AU59" s="130">
        <f t="shared" si="15"/>
        <v>-456.9</v>
      </c>
      <c r="AV59" s="130">
        <f>SUM(AV39:AV58)</f>
        <v>-581.70000000000005</v>
      </c>
      <c r="AW59" s="130"/>
      <c r="AX59" s="75"/>
      <c r="AY59" s="132"/>
      <c r="AZ59" s="132"/>
      <c r="BA59" s="132"/>
      <c r="BB59" s="133"/>
      <c r="BC59" s="133"/>
    </row>
    <row r="60" spans="1:55" ht="14">
      <c r="A60" s="66" t="s">
        <v>2</v>
      </c>
      <c r="B60" s="66"/>
      <c r="C60" s="95">
        <v>0</v>
      </c>
      <c r="D60" s="95">
        <v>0</v>
      </c>
      <c r="E60" s="95">
        <v>0</v>
      </c>
      <c r="F60" s="95">
        <v>0</v>
      </c>
      <c r="G60" s="83"/>
      <c r="H60" s="95">
        <v>0</v>
      </c>
      <c r="I60" s="95">
        <v>0</v>
      </c>
      <c r="J60" s="95">
        <v>-0.1</v>
      </c>
      <c r="K60" s="95">
        <v>-0.1</v>
      </c>
      <c r="L60" s="83"/>
      <c r="M60" s="95">
        <v>0</v>
      </c>
      <c r="N60" s="95">
        <v>0</v>
      </c>
      <c r="O60" s="95">
        <v>0</v>
      </c>
      <c r="P60" s="95">
        <v>-0.1</v>
      </c>
      <c r="Q60" s="83"/>
      <c r="R60" s="95">
        <v>0</v>
      </c>
      <c r="S60" s="95">
        <v>1.8</v>
      </c>
      <c r="T60" s="95">
        <f>3.4-S60-R60</f>
        <v>1.5999999999999999</v>
      </c>
      <c r="U60" s="95">
        <v>0.2</v>
      </c>
      <c r="V60" s="83"/>
      <c r="W60" s="95">
        <v>1.2</v>
      </c>
      <c r="X60" s="95">
        <v>-2.6</v>
      </c>
      <c r="Y60" s="95">
        <f>-1.5-W60-X60</f>
        <v>-0.10000000000000009</v>
      </c>
      <c r="Z60" s="95">
        <f>AT60-SUM(W60:Y60)</f>
        <v>-0.7999999999999996</v>
      </c>
      <c r="AA60" s="83"/>
      <c r="AB60" s="95">
        <v>-0.9</v>
      </c>
      <c r="AC60" s="95">
        <v>0.2</v>
      </c>
      <c r="AD60" s="95">
        <v>-1.4</v>
      </c>
      <c r="AE60" s="95">
        <f>AU60-SUM(AB60:AD60)</f>
        <v>1.2999999999999996</v>
      </c>
      <c r="AF60" s="83"/>
      <c r="AG60" s="95">
        <v>-1.5</v>
      </c>
      <c r="AH60" s="95">
        <v>0.6</v>
      </c>
      <c r="AI60" s="95">
        <v>1.2000000000000002</v>
      </c>
      <c r="AJ60" s="95">
        <v>1.5</v>
      </c>
      <c r="AK60" s="83"/>
      <c r="AL60" s="95">
        <v>-0.6</v>
      </c>
      <c r="AM60" s="189">
        <v>0.2</v>
      </c>
      <c r="AN60" s="83"/>
      <c r="AO60" s="95">
        <v>0</v>
      </c>
      <c r="AP60" s="95">
        <v>0</v>
      </c>
      <c r="AQ60" s="95">
        <v>-0.2</v>
      </c>
      <c r="AR60" s="95">
        <f>SUM(M60:P60)</f>
        <v>-0.1</v>
      </c>
      <c r="AS60" s="95">
        <f>SUM(R60:U60)</f>
        <v>3.6</v>
      </c>
      <c r="AT60" s="95">
        <v>-2.2999999999999998</v>
      </c>
      <c r="AU60" s="95">
        <v>-0.8</v>
      </c>
      <c r="AV60" s="95">
        <f>SUM(AG60:AJ60)</f>
        <v>1.8000000000000003</v>
      </c>
      <c r="AX60" s="75"/>
      <c r="AY60" s="75"/>
      <c r="AZ60" s="75"/>
      <c r="BA60" s="75"/>
      <c r="BB60" s="73"/>
      <c r="BC60" s="73"/>
    </row>
    <row r="61" spans="1:55" ht="14">
      <c r="A61" s="66" t="s">
        <v>175</v>
      </c>
      <c r="B61" s="66"/>
      <c r="C61" s="67">
        <f>C59+C34+C24+C60</f>
        <v>38.100000000000094</v>
      </c>
      <c r="D61" s="67">
        <f>D59+D34+D24+D60</f>
        <v>31.099999999999984</v>
      </c>
      <c r="E61" s="67">
        <f>E59+E34+E24+E60</f>
        <v>-19.599999999999909</v>
      </c>
      <c r="F61" s="67">
        <f>F59+F34+F24+F60</f>
        <v>-6.0000000000000391</v>
      </c>
      <c r="G61" s="83"/>
      <c r="H61" s="67">
        <f>H59+H34+H24+H60</f>
        <v>57.8</v>
      </c>
      <c r="I61" s="67">
        <f>I59+I34+I24+I60</f>
        <v>92.6</v>
      </c>
      <c r="J61" s="67">
        <f>J59+J34+J24+J60</f>
        <v>38.29999999999999</v>
      </c>
      <c r="K61" s="67">
        <f>K59+K34+K24+K60</f>
        <v>20.30000000000004</v>
      </c>
      <c r="M61" s="67">
        <f>M59+M34+M24+M60</f>
        <v>83.700000000000017</v>
      </c>
      <c r="N61" s="67">
        <f>N59+N34+N24+N60</f>
        <v>40.399999999999935</v>
      </c>
      <c r="O61" s="67">
        <f>O59+O34+O24+O60</f>
        <v>84.1</v>
      </c>
      <c r="P61" s="67">
        <f>P59+P34+P24+P60</f>
        <v>9.8999999999999861</v>
      </c>
      <c r="R61" s="67">
        <f>R59+R34+R24+R60</f>
        <v>92.100000000000051</v>
      </c>
      <c r="S61" s="67">
        <f>S59+S34+S24+S60</f>
        <v>-79.399999999999977</v>
      </c>
      <c r="T61" s="67">
        <f>T59+T34+T24+T60</f>
        <v>-41.900000000000084</v>
      </c>
      <c r="U61" s="67">
        <f>U59+U34+U24+U60</f>
        <v>45.799999999999983</v>
      </c>
      <c r="W61" s="67">
        <f>W59+W34+W24+W60</f>
        <v>127.99999999999999</v>
      </c>
      <c r="X61" s="67">
        <f>X59+X34+X24+X60</f>
        <v>99.000000000000014</v>
      </c>
      <c r="Y61" s="67">
        <f>Y59+Y34+Y24+Y60</f>
        <v>41.499999999999993</v>
      </c>
      <c r="Z61" s="67">
        <f>Z59+Z34+Z24+Z60</f>
        <v>81.2</v>
      </c>
      <c r="AB61" s="67">
        <f>AB59+AB34+AB24+AB60</f>
        <v>157.9</v>
      </c>
      <c r="AC61" s="67">
        <f>AC59+AC34+AC24+AC60</f>
        <v>108.50000000000011</v>
      </c>
      <c r="AD61" s="67">
        <f>AD59+AD34+AD24+AD60</f>
        <v>-232.10000000000005</v>
      </c>
      <c r="AE61" s="67">
        <f>AE59+AE34+AE24+AE60</f>
        <v>96.100000000000009</v>
      </c>
      <c r="AG61" s="67">
        <f>AG59+AG34+AG24+AG60</f>
        <v>-211.39999999999992</v>
      </c>
      <c r="AH61" s="67">
        <f>AH59+AH34+AH24+AH60</f>
        <v>-78.700000000000102</v>
      </c>
      <c r="AI61" s="67">
        <f>AI59+AI34+AI24+AI60</f>
        <v>-150.89999999999989</v>
      </c>
      <c r="AJ61" s="67">
        <f>AJ59+AJ34+AJ24+AJ60</f>
        <v>143.39999999999998</v>
      </c>
      <c r="AK61" s="83"/>
      <c r="AL61" s="67">
        <f>AL59+AL34+AL24+AL60</f>
        <v>527.89999999999986</v>
      </c>
      <c r="AM61" s="108">
        <f>AM59+AM34+AM24+AM60</f>
        <v>82.100000000000037</v>
      </c>
      <c r="AN61" s="83"/>
      <c r="AO61" s="67">
        <f t="shared" ref="AO61:AT61" si="16">AO59+AO34+AO24+AO60</f>
        <v>35.900000000000134</v>
      </c>
      <c r="AP61" s="67">
        <f t="shared" si="16"/>
        <v>43.599999999999739</v>
      </c>
      <c r="AQ61" s="67">
        <f t="shared" si="16"/>
        <v>209.00000000000017</v>
      </c>
      <c r="AR61" s="67">
        <f t="shared" si="16"/>
        <v>218.09999999999985</v>
      </c>
      <c r="AS61" s="67">
        <f t="shared" si="16"/>
        <v>16.599999999999888</v>
      </c>
      <c r="AT61" s="67">
        <f t="shared" si="16"/>
        <v>349.70000000000005</v>
      </c>
      <c r="AU61" s="67">
        <f>AU59+AU34+AU24+AU60</f>
        <v>130.40000000000015</v>
      </c>
      <c r="AV61" s="67">
        <f>AV59+AV34+AV24+AV60</f>
        <v>-297.59999999999985</v>
      </c>
      <c r="AX61" s="75"/>
      <c r="AY61" s="75"/>
      <c r="AZ61" s="75"/>
      <c r="BA61" s="75"/>
      <c r="BB61" s="73"/>
      <c r="BC61" s="73"/>
    </row>
    <row r="62" spans="1:55" ht="14">
      <c r="A62" s="66" t="s">
        <v>13</v>
      </c>
      <c r="B62" s="66"/>
      <c r="C62" s="95">
        <v>95.4</v>
      </c>
      <c r="D62" s="95">
        <f>C63</f>
        <v>133.50000000000011</v>
      </c>
      <c r="E62" s="95">
        <f>D63</f>
        <v>164.60000000000011</v>
      </c>
      <c r="F62" s="95">
        <f>E63</f>
        <v>145.0000000000002</v>
      </c>
      <c r="G62" s="83"/>
      <c r="H62" s="95">
        <v>139</v>
      </c>
      <c r="I62" s="95">
        <f>H63</f>
        <v>196.8</v>
      </c>
      <c r="J62" s="95">
        <f>I63</f>
        <v>289.39999999999998</v>
      </c>
      <c r="K62" s="95">
        <f>J63</f>
        <v>327.7</v>
      </c>
      <c r="L62" s="83"/>
      <c r="M62" s="95">
        <f>K63</f>
        <v>348</v>
      </c>
      <c r="N62" s="95">
        <f>M63</f>
        <v>431.70000000000005</v>
      </c>
      <c r="O62" s="95">
        <f>N63</f>
        <v>472.09999999999997</v>
      </c>
      <c r="P62" s="95">
        <f>O63</f>
        <v>556.19999999999993</v>
      </c>
      <c r="Q62" s="83"/>
      <c r="R62" s="95">
        <f>P63</f>
        <v>566.09999999999991</v>
      </c>
      <c r="S62" s="95">
        <f>R63</f>
        <v>658.19999999999993</v>
      </c>
      <c r="T62" s="95">
        <f>S63</f>
        <v>578.79999999999995</v>
      </c>
      <c r="U62" s="95">
        <f>T63</f>
        <v>536.89999999999986</v>
      </c>
      <c r="V62" s="83"/>
      <c r="W62" s="95">
        <f>U63</f>
        <v>582.69999999999982</v>
      </c>
      <c r="X62" s="95">
        <f>W63</f>
        <v>710.69999999999982</v>
      </c>
      <c r="Y62" s="95">
        <f>X63</f>
        <v>809.69999999999982</v>
      </c>
      <c r="Z62" s="95">
        <f>Y63</f>
        <v>851.19999999999982</v>
      </c>
      <c r="AA62" s="83"/>
      <c r="AB62" s="95">
        <f>Z63</f>
        <v>932.39999999999986</v>
      </c>
      <c r="AC62" s="95">
        <f>AB63</f>
        <v>1090.3</v>
      </c>
      <c r="AD62" s="95">
        <f>AC63</f>
        <v>1198.8000000000002</v>
      </c>
      <c r="AE62" s="95">
        <f>AD63</f>
        <v>966.70000000000016</v>
      </c>
      <c r="AF62" s="83"/>
      <c r="AG62" s="95">
        <f>AE63</f>
        <v>1062.8000000000002</v>
      </c>
      <c r="AH62" s="95">
        <f>AG63</f>
        <v>851.40000000000032</v>
      </c>
      <c r="AI62" s="95">
        <f>AH63</f>
        <v>772.70000000000027</v>
      </c>
      <c r="AJ62" s="95">
        <f>AI63</f>
        <v>621.80000000000041</v>
      </c>
      <c r="AK62" s="83"/>
      <c r="AL62" s="95">
        <f>AJ63</f>
        <v>765.20000000000039</v>
      </c>
      <c r="AM62" s="189">
        <f>AL63</f>
        <v>1293.1000000000004</v>
      </c>
      <c r="AN62" s="83"/>
      <c r="AO62" s="95">
        <v>59.5</v>
      </c>
      <c r="AP62" s="95">
        <v>95.4</v>
      </c>
      <c r="AQ62" s="95">
        <v>139</v>
      </c>
      <c r="AR62" s="95">
        <f>AQ63</f>
        <v>348.00000000000017</v>
      </c>
      <c r="AS62" s="95">
        <f>AR63</f>
        <v>566.1</v>
      </c>
      <c r="AT62" s="95">
        <f>AS63</f>
        <v>582.69999999999993</v>
      </c>
      <c r="AU62" s="95">
        <f>AT63</f>
        <v>932.4</v>
      </c>
      <c r="AV62" s="95">
        <f>AU63</f>
        <v>1062.8000000000002</v>
      </c>
      <c r="AX62" s="75"/>
      <c r="BA62" s="75"/>
    </row>
    <row r="63" spans="1:55" s="104" customFormat="1" ht="15" thickBot="1">
      <c r="A63" s="92" t="s">
        <v>14</v>
      </c>
      <c r="B63" s="92"/>
      <c r="C63" s="142">
        <f>IF(SUM(C61:C62)='1. Balance Sheet'!C11,SUM(C61:C62))</f>
        <v>133.50000000000011</v>
      </c>
      <c r="D63" s="142">
        <f>IF(SUM(D61:D62)='1. Balance Sheet'!D11,SUM(D61:D62))</f>
        <v>164.60000000000011</v>
      </c>
      <c r="E63" s="142">
        <f>IF(SUM(E61:E62)='1. Balance Sheet'!E11,SUM(E61:E62))</f>
        <v>145.0000000000002</v>
      </c>
      <c r="F63" s="142">
        <f>IF(SUM(F61:F62)='1. Balance Sheet'!F11,SUM(F61:F62))</f>
        <v>139.00000000000017</v>
      </c>
      <c r="G63" s="128"/>
      <c r="H63" s="142">
        <f>IF(SUM(H61:H62)='1. Balance Sheet'!H11,SUM(H61:H62))</f>
        <v>196.8</v>
      </c>
      <c r="I63" s="142">
        <f>IF(SUM(I61:I62)='1. Balance Sheet'!I11,SUM(I61:I62))</f>
        <v>289.39999999999998</v>
      </c>
      <c r="J63" s="142">
        <f>IF(SUM(J61:J62)='1. Balance Sheet'!J11,SUM(J61:J62))</f>
        <v>327.7</v>
      </c>
      <c r="K63" s="142">
        <f>IF(SUM(K61:K62)='1. Balance Sheet'!K11,SUM(K61:K62))</f>
        <v>348</v>
      </c>
      <c r="L63" s="128"/>
      <c r="M63" s="142">
        <f>IF(SUM(M61:M62)='1. Balance Sheet'!M11,SUM(M61:M62))</f>
        <v>431.70000000000005</v>
      </c>
      <c r="N63" s="142">
        <f>IF(SUM(N61:N62)='1. Balance Sheet'!N11,SUM(N61:N62))</f>
        <v>472.09999999999997</v>
      </c>
      <c r="O63" s="142">
        <f>IF(SUM(O61:O62)='1. Balance Sheet'!O11,SUM(O61:O62))</f>
        <v>556.19999999999993</v>
      </c>
      <c r="P63" s="142">
        <f>IF(SUM(P61:P62)='1. Balance Sheet'!P11,SUM(P61:P62))</f>
        <v>566.09999999999991</v>
      </c>
      <c r="Q63" s="128"/>
      <c r="R63" s="142">
        <f>IF(SUM(R61:R62)='1. Balance Sheet'!R11,SUM(R61:R62))</f>
        <v>658.19999999999993</v>
      </c>
      <c r="S63" s="142">
        <f>IF(SUM(S61:S62)='1. Balance Sheet'!S11,SUM(S61:S62))</f>
        <v>578.79999999999995</v>
      </c>
      <c r="T63" s="142">
        <f>IF(SUM(T61:T62)='1. Balance Sheet'!T11,SUM(T61:T62))</f>
        <v>536.89999999999986</v>
      </c>
      <c r="U63" s="142">
        <f>IF(SUM(U61:U62)='1. Balance Sheet'!U11,SUM(U61:U62))</f>
        <v>582.69999999999982</v>
      </c>
      <c r="V63" s="128"/>
      <c r="W63" s="142">
        <f>IF(SUM(W61:W62)='1. Balance Sheet'!W11,SUM(W61:W62))</f>
        <v>710.69999999999982</v>
      </c>
      <c r="X63" s="142">
        <f>IF(SUM(X61:X62)='1. Balance Sheet'!X11,SUM(X61:X62))</f>
        <v>809.69999999999982</v>
      </c>
      <c r="Y63" s="142">
        <f>IF(SUM(Y61:Y62)='1. Balance Sheet'!Y11,SUM(Y61:Y62))</f>
        <v>851.19999999999982</v>
      </c>
      <c r="Z63" s="142">
        <f>IF(SUM(Z61:Z62)='1. Balance Sheet'!Z11,SUM(Z61:Z62))</f>
        <v>932.39999999999986</v>
      </c>
      <c r="AA63" s="128"/>
      <c r="AB63" s="142">
        <f>IF(SUM(AB61:AB62)='1. Balance Sheet'!AB11,SUM(AB61:AB62))</f>
        <v>1090.3</v>
      </c>
      <c r="AC63" s="142">
        <f>IF(SUM(AC61:AC62)='1. Balance Sheet'!AC11,SUM(AC61:AC62))</f>
        <v>1198.8000000000002</v>
      </c>
      <c r="AD63" s="142">
        <f>IF(SUM(AD61:AD62)='1. Balance Sheet'!AD11,SUM(AD61:AD62))</f>
        <v>966.70000000000016</v>
      </c>
      <c r="AE63" s="142">
        <f>IF(SUM(AE61:AE62)='1. Balance Sheet'!AE11,SUM(AE61:AE62))</f>
        <v>1062.8000000000002</v>
      </c>
      <c r="AF63" s="128"/>
      <c r="AG63" s="142">
        <f>IF(SUM(AG61:AG62)='1. Balance Sheet'!AG11,SUM(AG61:AG62))</f>
        <v>851.40000000000032</v>
      </c>
      <c r="AH63" s="142">
        <f>IF(SUM(AH61:AH62)='1. Balance Sheet'!AH11,SUM(AH61:AH62))</f>
        <v>772.70000000000027</v>
      </c>
      <c r="AI63" s="142">
        <f>IF(SUM(AI61:AI62)='1. Balance Sheet'!AI11,SUM(AI61:AI62))</f>
        <v>621.80000000000041</v>
      </c>
      <c r="AJ63" s="142">
        <f>IF(SUM(AJ61:AJ62)='1. Balance Sheet'!AJ11,SUM(AJ61:AJ62))</f>
        <v>765.20000000000039</v>
      </c>
      <c r="AK63" s="128"/>
      <c r="AL63" s="142">
        <f>IF(SUM(AL61:AL62)='1. Balance Sheet'!AL11,SUM(AL61:AL62))</f>
        <v>1293.1000000000004</v>
      </c>
      <c r="AM63" s="217">
        <f>IF(SUM(AM61:AM62)='1. Balance Sheet'!AM11,SUM(AM61:AM62))</f>
        <v>1375.2000000000005</v>
      </c>
      <c r="AN63" s="128"/>
      <c r="AO63" s="142">
        <f>SUM(AO61:AO62)</f>
        <v>95.400000000000134</v>
      </c>
      <c r="AP63" s="142">
        <f>IF(SUM(AP61:AP62)='1. Balance Sheet'!F11,SUM(AP61:AP62))</f>
        <v>138.99999999999974</v>
      </c>
      <c r="AQ63" s="142">
        <f t="shared" ref="AQ63:AV63" si="17">AQ61+AQ62</f>
        <v>348.00000000000017</v>
      </c>
      <c r="AR63" s="142">
        <f t="shared" si="17"/>
        <v>566.1</v>
      </c>
      <c r="AS63" s="142">
        <f t="shared" si="17"/>
        <v>582.69999999999993</v>
      </c>
      <c r="AT63" s="142">
        <f t="shared" si="17"/>
        <v>932.4</v>
      </c>
      <c r="AU63" s="142">
        <f t="shared" si="17"/>
        <v>1062.8000000000002</v>
      </c>
      <c r="AV63" s="142">
        <f t="shared" si="17"/>
        <v>765.20000000000027</v>
      </c>
      <c r="AW63" s="130"/>
      <c r="AX63" s="75"/>
      <c r="BA63" s="132"/>
    </row>
    <row r="64" spans="1:55" ht="14" thickTop="1">
      <c r="A64" s="66"/>
      <c r="B64" s="66"/>
      <c r="C64" s="67"/>
      <c r="D64" s="67"/>
      <c r="G64" s="83"/>
      <c r="AK64" s="83"/>
      <c r="AN64" s="83"/>
      <c r="AQ64" s="67"/>
      <c r="AR64" s="67"/>
      <c r="AS64" s="67"/>
      <c r="AT64" s="67"/>
      <c r="AU64" s="67"/>
      <c r="AV64" s="67"/>
    </row>
    <row r="65" spans="1:55">
      <c r="A65" s="66"/>
      <c r="B65" s="66"/>
      <c r="C65" s="67"/>
      <c r="D65" s="67"/>
      <c r="G65" s="83"/>
      <c r="AK65" s="83"/>
      <c r="AN65" s="83"/>
      <c r="AQ65" s="67"/>
      <c r="AR65" s="67"/>
      <c r="AS65" s="67"/>
      <c r="AT65" s="67"/>
      <c r="AU65" s="67"/>
      <c r="AV65" s="67"/>
    </row>
    <row r="66" spans="1:55">
      <c r="A66" s="66"/>
      <c r="B66" s="66"/>
      <c r="C66" s="67"/>
      <c r="D66" s="67"/>
      <c r="G66" s="83"/>
      <c r="AK66" s="83"/>
      <c r="AN66" s="83"/>
      <c r="AQ66" s="67"/>
      <c r="AR66" s="67"/>
      <c r="AS66" s="67"/>
      <c r="AT66" s="67"/>
      <c r="AU66" s="67"/>
      <c r="AV66" s="67"/>
    </row>
    <row r="67" spans="1:55">
      <c r="A67" s="66"/>
      <c r="B67" s="66"/>
      <c r="C67" s="93"/>
      <c r="D67" s="93"/>
      <c r="E67" s="93"/>
      <c r="F67" s="93"/>
      <c r="G67" s="94"/>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4"/>
      <c r="AL67" s="93"/>
      <c r="AM67" s="218"/>
      <c r="AN67" s="94"/>
      <c r="AO67" s="93"/>
      <c r="AP67" s="93"/>
      <c r="AQ67" s="93"/>
      <c r="AR67" s="93"/>
      <c r="AS67" s="93"/>
      <c r="AT67" s="93"/>
      <c r="AU67" s="93"/>
      <c r="AV67" s="93"/>
      <c r="AX67" s="75"/>
      <c r="AY67" s="75"/>
      <c r="BA67" s="75"/>
      <c r="BB67" s="73"/>
      <c r="BC67" s="73"/>
    </row>
    <row r="68" spans="1:55">
      <c r="A68" s="66"/>
      <c r="B68" s="66"/>
      <c r="C68" s="93"/>
      <c r="D68" s="93"/>
      <c r="E68" s="93"/>
      <c r="F68" s="93"/>
      <c r="G68" s="94"/>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4"/>
      <c r="AL68" s="93"/>
      <c r="AM68" s="218"/>
      <c r="AN68" s="94"/>
      <c r="AO68" s="93"/>
      <c r="AP68" s="93"/>
      <c r="AQ68" s="93"/>
      <c r="AR68" s="93"/>
      <c r="AS68" s="93"/>
      <c r="AT68" s="93"/>
      <c r="AU68" s="93"/>
      <c r="AV68" s="93"/>
      <c r="AX68" s="75"/>
      <c r="AY68" s="75"/>
      <c r="BA68" s="75"/>
      <c r="BB68" s="73"/>
      <c r="BC68" s="73"/>
    </row>
    <row r="69" spans="1:55">
      <c r="A69" s="66"/>
      <c r="B69" s="66"/>
      <c r="C69" s="93"/>
      <c r="D69" s="93"/>
      <c r="E69" s="93"/>
      <c r="F69" s="93"/>
      <c r="G69" s="94"/>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4"/>
      <c r="AL69" s="93"/>
      <c r="AM69" s="218"/>
      <c r="AN69" s="94"/>
      <c r="AO69" s="93"/>
      <c r="AP69" s="93"/>
      <c r="AQ69" s="93"/>
      <c r="AR69" s="93"/>
      <c r="AS69" s="93"/>
      <c r="AT69" s="93"/>
      <c r="AU69" s="93"/>
      <c r="AV69" s="93"/>
      <c r="AX69" s="75"/>
      <c r="AY69" s="75"/>
      <c r="BA69" s="75"/>
      <c r="BB69" s="73"/>
      <c r="BC69" s="73"/>
    </row>
    <row r="70" spans="1:55">
      <c r="A70" s="66"/>
      <c r="B70" s="66"/>
      <c r="C70" s="93"/>
      <c r="D70" s="93"/>
      <c r="E70" s="93"/>
      <c r="F70" s="93"/>
      <c r="G70" s="94"/>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4"/>
      <c r="AL70" s="93"/>
      <c r="AM70" s="218"/>
      <c r="AN70" s="94"/>
      <c r="AO70" s="93"/>
      <c r="AP70" s="93"/>
      <c r="AQ70" s="93"/>
      <c r="AR70" s="93"/>
      <c r="AS70" s="93"/>
      <c r="AT70" s="93"/>
      <c r="AU70" s="93"/>
      <c r="AV70" s="93"/>
      <c r="AX70" s="75"/>
      <c r="AY70" s="75"/>
      <c r="BA70" s="75"/>
      <c r="BB70" s="73"/>
      <c r="BC70" s="73"/>
    </row>
    <row r="71" spans="1:55">
      <c r="A71" s="66"/>
      <c r="B71" s="66"/>
      <c r="C71" s="93"/>
      <c r="D71" s="93"/>
      <c r="E71" s="93"/>
      <c r="F71" s="93"/>
      <c r="G71" s="94"/>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4"/>
      <c r="AL71" s="93"/>
      <c r="AM71" s="218"/>
      <c r="AN71" s="94"/>
      <c r="AO71" s="93"/>
      <c r="AP71" s="93"/>
      <c r="AQ71" s="93"/>
      <c r="AR71" s="93"/>
      <c r="AS71" s="93"/>
      <c r="AT71" s="93"/>
      <c r="AU71" s="93"/>
      <c r="AV71" s="93"/>
      <c r="AX71" s="75"/>
      <c r="AY71" s="75"/>
      <c r="BA71" s="75"/>
      <c r="BB71" s="73"/>
      <c r="BC71" s="73"/>
    </row>
    <row r="72" spans="1:55">
      <c r="A72" s="66"/>
      <c r="B72" s="66"/>
      <c r="C72" s="93"/>
      <c r="D72" s="93"/>
      <c r="E72" s="93"/>
      <c r="F72" s="93"/>
      <c r="G72" s="94"/>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4"/>
      <c r="AL72" s="93"/>
      <c r="AM72" s="218"/>
      <c r="AN72" s="94"/>
      <c r="AO72" s="93"/>
      <c r="AP72" s="93"/>
      <c r="AQ72" s="93"/>
      <c r="AR72" s="93"/>
      <c r="AS72" s="93"/>
      <c r="AT72" s="93"/>
      <c r="AU72" s="93"/>
      <c r="AV72" s="93"/>
      <c r="AX72" s="75"/>
      <c r="AY72" s="75"/>
      <c r="BA72" s="75"/>
      <c r="BB72" s="73"/>
      <c r="BC72" s="73"/>
    </row>
    <row r="73" spans="1:55">
      <c r="A73" s="66"/>
      <c r="B73" s="66"/>
      <c r="C73" s="93"/>
      <c r="D73" s="93"/>
      <c r="E73" s="93"/>
      <c r="F73" s="93"/>
      <c r="G73" s="94"/>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4"/>
      <c r="AL73" s="93"/>
      <c r="AM73" s="218"/>
      <c r="AN73" s="94"/>
      <c r="AO73" s="93"/>
      <c r="AP73" s="93"/>
      <c r="AQ73" s="93"/>
      <c r="AR73" s="93"/>
      <c r="AS73" s="93"/>
      <c r="AT73" s="93"/>
      <c r="AU73" s="93"/>
      <c r="AV73" s="93"/>
      <c r="AX73" s="75"/>
      <c r="AY73" s="75"/>
      <c r="BA73" s="75"/>
      <c r="BB73" s="73"/>
      <c r="BC73" s="73"/>
    </row>
    <row r="74" spans="1:55">
      <c r="AK74" s="83"/>
      <c r="AN74" s="83"/>
      <c r="AP74" s="72"/>
    </row>
    <row r="75" spans="1:55">
      <c r="AK75" s="83"/>
      <c r="AN75" s="83"/>
      <c r="AP75" s="72"/>
    </row>
    <row r="76" spans="1:55">
      <c r="AK76" s="83"/>
      <c r="AN76" s="83"/>
      <c r="AP76" s="72"/>
    </row>
    <row r="77" spans="1:55">
      <c r="AK77" s="83"/>
      <c r="AN77" s="83"/>
      <c r="AP77" s="72"/>
    </row>
    <row r="78" spans="1:55">
      <c r="AP78" s="72"/>
    </row>
    <row r="79" spans="1:55">
      <c r="AP79" s="72"/>
    </row>
    <row r="80" spans="1:55">
      <c r="AP80" s="72"/>
    </row>
    <row r="81" spans="15:42">
      <c r="AP81" s="72"/>
    </row>
    <row r="82" spans="15:42">
      <c r="AP82" s="72"/>
    </row>
    <row r="83" spans="15:42">
      <c r="AP83" s="72"/>
    </row>
    <row r="84" spans="15:42">
      <c r="AP84" s="72"/>
    </row>
    <row r="85" spans="15:42">
      <c r="AP85" s="72"/>
    </row>
    <row r="86" spans="15:42">
      <c r="AP86" s="72"/>
    </row>
    <row r="87" spans="15:42">
      <c r="AP87" s="72"/>
    </row>
    <row r="88" spans="15:42">
      <c r="AP88" s="72"/>
    </row>
    <row r="89" spans="15:42">
      <c r="AP89" s="72"/>
    </row>
    <row r="90" spans="15:42">
      <c r="O90" s="114"/>
      <c r="P90" s="114"/>
      <c r="Q90" s="114"/>
      <c r="R90" s="114"/>
      <c r="S90" s="114"/>
      <c r="T90" s="114"/>
      <c r="U90" s="114"/>
      <c r="V90" s="114"/>
      <c r="W90" s="114"/>
      <c r="X90" s="114"/>
      <c r="Y90" s="114"/>
      <c r="Z90" s="114"/>
      <c r="AA90" s="114"/>
      <c r="AB90" s="114"/>
      <c r="AC90" s="114"/>
      <c r="AD90" s="114"/>
      <c r="AE90" s="114"/>
      <c r="AF90" s="114"/>
      <c r="AG90" s="114"/>
      <c r="AH90" s="114"/>
      <c r="AI90" s="114"/>
      <c r="AJ90" s="114"/>
      <c r="AL90" s="114"/>
      <c r="AM90" s="210"/>
      <c r="AP90" s="72"/>
    </row>
    <row r="91" spans="15:42">
      <c r="AP91" s="72"/>
    </row>
    <row r="92" spans="15:42">
      <c r="O92" s="93"/>
      <c r="P92" s="93"/>
      <c r="Q92" s="93"/>
      <c r="R92" s="93"/>
      <c r="S92" s="93"/>
      <c r="T92" s="93"/>
      <c r="U92" s="93"/>
      <c r="V92" s="93"/>
      <c r="W92" s="93"/>
      <c r="X92" s="93"/>
      <c r="Y92" s="93"/>
      <c r="Z92" s="93"/>
      <c r="AA92" s="93"/>
      <c r="AB92" s="93"/>
      <c r="AC92" s="93"/>
      <c r="AD92" s="93"/>
      <c r="AE92" s="93"/>
      <c r="AF92" s="93"/>
      <c r="AG92" s="93"/>
      <c r="AH92" s="93"/>
      <c r="AI92" s="93"/>
      <c r="AJ92" s="93"/>
      <c r="AL92" s="93"/>
      <c r="AM92" s="218"/>
      <c r="AP92" s="72"/>
    </row>
    <row r="93" spans="15:42">
      <c r="AP93" s="72"/>
    </row>
    <row r="94" spans="15:42">
      <c r="AP94" s="72"/>
    </row>
    <row r="95" spans="15:42">
      <c r="AP95" s="72"/>
    </row>
    <row r="96" spans="15:42">
      <c r="AP96" s="72"/>
    </row>
    <row r="97" spans="42:42">
      <c r="AP97" s="72"/>
    </row>
    <row r="98" spans="42:42">
      <c r="AP98" s="72"/>
    </row>
    <row r="99" spans="42:42">
      <c r="AP99" s="72"/>
    </row>
    <row r="100" spans="42:42">
      <c r="AP100" s="72"/>
    </row>
    <row r="101" spans="42:42">
      <c r="AP101" s="72"/>
    </row>
    <row r="102" spans="42:42">
      <c r="AP102" s="72"/>
    </row>
    <row r="103" spans="42:42">
      <c r="AP103" s="72"/>
    </row>
    <row r="104" spans="42:42">
      <c r="AP104" s="72"/>
    </row>
    <row r="105" spans="42:42">
      <c r="AP105" s="72"/>
    </row>
    <row r="106" spans="42:42">
      <c r="AP106" s="72"/>
    </row>
    <row r="107" spans="42:42">
      <c r="AP107" s="72"/>
    </row>
    <row r="108" spans="42:42">
      <c r="AP108" s="72"/>
    </row>
    <row r="109" spans="42:42">
      <c r="AP109" s="72"/>
    </row>
    <row r="110" spans="42:42">
      <c r="AP110" s="72"/>
    </row>
    <row r="111" spans="42:42">
      <c r="AP111" s="72"/>
    </row>
    <row r="112" spans="42:42">
      <c r="AP112" s="72"/>
    </row>
    <row r="113" spans="42:42">
      <c r="AP113" s="72"/>
    </row>
    <row r="114" spans="42:42">
      <c r="AP114" s="72"/>
    </row>
    <row r="115" spans="42:42">
      <c r="AP115" s="72"/>
    </row>
    <row r="116" spans="42:42">
      <c r="AP116" s="72"/>
    </row>
    <row r="117" spans="42:42">
      <c r="AP117" s="72"/>
    </row>
    <row r="118" spans="42:42">
      <c r="AP118" s="72"/>
    </row>
    <row r="119" spans="42:42">
      <c r="AP119" s="72"/>
    </row>
    <row r="120" spans="42:42">
      <c r="AP120" s="72"/>
    </row>
    <row r="121" spans="42:42">
      <c r="AP121" s="72"/>
    </row>
    <row r="122" spans="42:42">
      <c r="AP122" s="72"/>
    </row>
  </sheetData>
  <mergeCells count="7">
    <mergeCell ref="C2:AM2"/>
    <mergeCell ref="C4:AM4"/>
    <mergeCell ref="AO7:AV7"/>
    <mergeCell ref="AO6:AV6"/>
    <mergeCell ref="C6:AM6"/>
    <mergeCell ref="C7:AM7"/>
    <mergeCell ref="C3:AM3"/>
  </mergeCells>
  <pageMargins left="0.7" right="0.7" top="0.75" bottom="0.75" header="0.3" footer="0.3"/>
  <pageSetup scale="46" orientation="landscape" r:id="rId1"/>
  <headerFooter>
    <oddFooter>Page &amp;P</oddFooter>
  </headerFooter>
  <colBreaks count="1" manualBreakCount="1">
    <brk id="48" max="1048575" man="1"/>
  </colBreaks>
  <ignoredErrors>
    <ignoredError sqref="AR59" formula="1"/>
    <ignoredError sqref="AR55"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21"/>
  <sheetViews>
    <sheetView zoomScaleNormal="100" workbookViewId="0"/>
  </sheetViews>
  <sheetFormatPr baseColWidth="10" defaultColWidth="9" defaultRowHeight="13"/>
  <cols>
    <col min="1" max="16384" width="9" style="72"/>
  </cols>
  <sheetData>
    <row r="21" spans="4:4" ht="18">
      <c r="D21" s="77"/>
    </row>
  </sheetData>
  <pageMargins left="0.7" right="0.7" top="0.75" bottom="0.75" header="0.3" footer="0.3"/>
  <pageSetup scale="4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Index Page </vt:lpstr>
      <vt:lpstr>1. Balance Sheet</vt:lpstr>
      <vt:lpstr>2. Income Stmt</vt:lpstr>
      <vt:lpstr>3. Key Metrics</vt:lpstr>
      <vt:lpstr>3a. Key Metrics Annual</vt:lpstr>
      <vt:lpstr>4. Geographic Rev</vt:lpstr>
      <vt:lpstr>II-4) Reconciliation </vt:lpstr>
      <vt:lpstr>5. Cash Flow</vt:lpstr>
      <vt:lpstr>6. Notes</vt:lpstr>
      <vt:lpstr>IV - Notes</vt:lpstr>
      <vt:lpstr>'1. Balance Sheet'!Print_Area</vt:lpstr>
      <vt:lpstr>'2. Income Stmt'!Print_Area</vt:lpstr>
      <vt:lpstr>'3. Key Metrics'!Print_Area</vt:lpstr>
      <vt:lpstr>'3a. Key Metrics Annual'!Print_Area</vt:lpstr>
      <vt:lpstr>'4. Geographic Rev'!Print_Area</vt:lpstr>
      <vt:lpstr>'5. Cash Flow'!Print_Area</vt:lpstr>
      <vt:lpstr>'6. Notes'!Print_Area</vt:lpstr>
      <vt:lpstr>'II-4) Reconciliation '!Print_Area</vt:lpstr>
      <vt:lpstr>'Index Page '!Print_Area</vt:lpstr>
      <vt:lpstr>'IV - Notes'!Print_Area</vt:lpstr>
      <vt:lpstr>'II-4) Reconciliation '!Print_Titles</vt:lpstr>
    </vt:vector>
  </TitlesOfParts>
  <Company>Yahoo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Financial Reporting</dc:title>
  <dc:subject>Investor Relations finanancials</dc:subject>
  <dc:creator>Christie Masoner</dc:creator>
  <cp:lastModifiedBy>Microsoft Office User</cp:lastModifiedBy>
  <cp:lastPrinted>2018-05-03T20:45:02Z</cp:lastPrinted>
  <dcterms:created xsi:type="dcterms:W3CDTF">2002-04-12T16:18:32Z</dcterms:created>
  <dcterms:modified xsi:type="dcterms:W3CDTF">2021-07-30T17:35:21Z</dcterms:modified>
</cp:coreProperties>
</file>