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24000" windowHeight="9132"/>
  </bookViews>
  <sheets>
    <sheet name="Report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6" i="1" l="1"/>
  <c r="K195" i="1"/>
  <c r="K194" i="1"/>
  <c r="L194" i="1" s="1"/>
  <c r="M194" i="1" s="1"/>
  <c r="K193" i="1"/>
  <c r="L193" i="1" s="1"/>
  <c r="M193" i="1" s="1"/>
  <c r="K192" i="1"/>
  <c r="K186" i="1"/>
  <c r="J186" i="1"/>
  <c r="K178" i="1"/>
  <c r="J178" i="1"/>
  <c r="L173" i="1"/>
  <c r="L161" i="1"/>
  <c r="L153" i="1"/>
  <c r="K142" i="1"/>
  <c r="K141" i="1"/>
  <c r="K139" i="1"/>
  <c r="L156" i="1" s="1"/>
  <c r="K132" i="1"/>
  <c r="K131" i="1"/>
  <c r="K129" i="1"/>
  <c r="K128" i="1"/>
  <c r="K127" i="1"/>
  <c r="K126" i="1"/>
  <c r="K125" i="1"/>
  <c r="K124" i="1"/>
  <c r="K123" i="1"/>
  <c r="K117" i="1"/>
  <c r="K116" i="1"/>
  <c r="L155" i="1" s="1"/>
  <c r="L157" i="1" s="1"/>
  <c r="K115" i="1"/>
  <c r="K114" i="1"/>
  <c r="K113" i="1"/>
  <c r="K112" i="1"/>
  <c r="L174" i="1" s="1"/>
  <c r="K111" i="1"/>
  <c r="K110" i="1"/>
  <c r="K109" i="1"/>
  <c r="L104" i="1"/>
  <c r="K84" i="1"/>
  <c r="K86" i="1" s="1"/>
  <c r="K87" i="1" s="1"/>
  <c r="J84" i="1"/>
  <c r="J86" i="1" s="1"/>
  <c r="J87" i="1" s="1"/>
  <c r="K79" i="1"/>
  <c r="B95" i="1" s="1"/>
  <c r="G95" i="1" s="1"/>
  <c r="K137" i="1" s="1"/>
  <c r="J79" i="1"/>
  <c r="B94" i="1" s="1"/>
  <c r="G94" i="1" s="1"/>
  <c r="K135" i="1" s="1"/>
  <c r="I79" i="1"/>
  <c r="L78" i="1"/>
  <c r="E68" i="1"/>
  <c r="E63" i="1"/>
  <c r="E52" i="1"/>
  <c r="G52" i="1" s="1"/>
  <c r="E51" i="1"/>
  <c r="G51" i="1" s="1"/>
  <c r="L38" i="1"/>
  <c r="L37" i="1"/>
  <c r="L36" i="1"/>
  <c r="L29" i="1"/>
  <c r="L27" i="1"/>
  <c r="K23" i="1"/>
  <c r="L39" i="1" s="1"/>
  <c r="K22" i="1"/>
  <c r="K21" i="1"/>
  <c r="K20" i="1"/>
  <c r="K19" i="1"/>
  <c r="L17" i="1"/>
  <c r="A17" i="1"/>
  <c r="B19" i="1" s="1"/>
  <c r="B20" i="1" s="1"/>
  <c r="B21" i="1" s="1"/>
  <c r="L16" i="1"/>
  <c r="K16" i="1"/>
  <c r="D10" i="1"/>
  <c r="D9" i="1"/>
  <c r="D8" i="1"/>
  <c r="L163" i="1" s="1"/>
  <c r="D7" i="1"/>
  <c r="D11" i="1" s="1"/>
  <c r="K17" i="1" l="1"/>
  <c r="K24" i="1"/>
  <c r="L26" i="1" s="1"/>
  <c r="N5" i="1" s="1"/>
  <c r="L119" i="1"/>
  <c r="L192" i="1"/>
  <c r="L195" i="1"/>
  <c r="L30" i="1"/>
  <c r="L34" i="1" s="1"/>
  <c r="L41" i="1" s="1"/>
  <c r="L196" i="1"/>
  <c r="M196" i="1" s="1"/>
  <c r="J21" i="1"/>
  <c r="B22" i="1"/>
  <c r="L103" i="1"/>
  <c r="J20" i="1"/>
  <c r="K197" i="1"/>
  <c r="L79" i="1"/>
  <c r="L101" i="1" s="1"/>
  <c r="M192" i="1"/>
  <c r="K130" i="1"/>
  <c r="L175" i="1"/>
  <c r="L178" i="1" s="1"/>
  <c r="L179" i="1" s="1"/>
  <c r="L181" i="1" s="1"/>
  <c r="J19" i="1"/>
  <c r="K134" i="1"/>
  <c r="K136" i="1" s="1"/>
  <c r="K138" i="1" s="1"/>
  <c r="B93" i="1"/>
  <c r="G93" i="1" s="1"/>
  <c r="K133" i="1" s="1"/>
  <c r="I81" i="1"/>
  <c r="L81" i="1" s="1"/>
  <c r="J82" i="1"/>
  <c r="L82" i="1" s="1"/>
  <c r="K83" i="1"/>
  <c r="L83" i="1" s="1"/>
  <c r="I84" i="1"/>
  <c r="L197" i="1" l="1"/>
  <c r="M197" i="1" s="1"/>
  <c r="L102" i="1"/>
  <c r="L105" i="1" s="1"/>
  <c r="K143" i="1" s="1"/>
  <c r="B23" i="1"/>
  <c r="J22" i="1"/>
  <c r="E61" i="1"/>
  <c r="F63" i="1" s="1"/>
  <c r="E53" i="1"/>
  <c r="G53" i="1" s="1"/>
  <c r="E57" i="1"/>
  <c r="G57" i="1" s="1"/>
  <c r="E55" i="1"/>
  <c r="G55" i="1" s="1"/>
  <c r="E56" i="1"/>
  <c r="G56" i="1" s="1"/>
  <c r="E49" i="1"/>
  <c r="G49" i="1" s="1"/>
  <c r="E58" i="1"/>
  <c r="G58" i="1" s="1"/>
  <c r="E54" i="1"/>
  <c r="G54" i="1" s="1"/>
  <c r="E48" i="1"/>
  <c r="G48" i="1" s="1"/>
  <c r="E50" i="1"/>
  <c r="G50" i="1" s="1"/>
  <c r="L84" i="1"/>
  <c r="I86" i="1"/>
  <c r="L86" i="1" l="1"/>
  <c r="I87" i="1"/>
  <c r="B24" i="1"/>
  <c r="J23" i="1"/>
  <c r="K140" i="1"/>
  <c r="J24" i="1" l="1"/>
  <c r="A26" i="1"/>
  <c r="L162" i="1"/>
  <c r="K144" i="1"/>
  <c r="L146" i="1" s="1"/>
  <c r="E65" i="1"/>
  <c r="L87" i="1"/>
  <c r="L164" i="1" l="1"/>
  <c r="L165" i="1" s="1"/>
  <c r="E67" i="1" s="1"/>
  <c r="F68" i="1" s="1"/>
  <c r="K26" i="1"/>
  <c r="A27" i="1"/>
  <c r="G59" i="1" l="1"/>
  <c r="L73" i="1"/>
  <c r="L186" i="1" s="1"/>
  <c r="L187" i="1" s="1"/>
  <c r="A29" i="1"/>
  <c r="K27" i="1"/>
  <c r="A30" i="1" l="1"/>
  <c r="K29" i="1"/>
  <c r="A34" i="1" l="1"/>
  <c r="K30" i="1"/>
  <c r="K34" i="1" l="1"/>
  <c r="A36" i="1"/>
  <c r="K36" i="1" l="1"/>
  <c r="A37" i="1"/>
  <c r="A38" i="1" l="1"/>
  <c r="K37" i="1"/>
  <c r="K38" i="1" l="1"/>
  <c r="A39" i="1"/>
  <c r="K39" i="1" l="1"/>
  <c r="A41" i="1"/>
  <c r="A73" i="1" l="1"/>
  <c r="K41" i="1"/>
  <c r="K73" i="1" l="1"/>
  <c r="A78" i="1"/>
  <c r="H78" i="1" l="1"/>
  <c r="A79" i="1"/>
  <c r="A81" i="1" s="1"/>
  <c r="H81" i="1" l="1"/>
  <c r="A82" i="1"/>
  <c r="H82" i="1" l="1"/>
  <c r="A83" i="1"/>
  <c r="H83" i="1" l="1"/>
  <c r="A84" i="1"/>
  <c r="A86" i="1" l="1"/>
  <c r="A87" i="1" s="1"/>
  <c r="H87" i="1" s="1"/>
  <c r="A93" i="1" s="1"/>
  <c r="A94" i="1" s="1"/>
  <c r="A95" i="1" s="1"/>
  <c r="A101" i="1" s="1"/>
  <c r="H84" i="1"/>
  <c r="A102" i="1" l="1"/>
  <c r="K101" i="1"/>
  <c r="K102" i="1" l="1"/>
  <c r="A103" i="1"/>
  <c r="K103" i="1" l="1"/>
  <c r="A104" i="1"/>
  <c r="A105" i="1" l="1"/>
  <c r="K104" i="1"/>
  <c r="A109" i="1" l="1"/>
  <c r="K105" i="1"/>
  <c r="J109" i="1" l="1"/>
  <c r="A110" i="1"/>
  <c r="J110" i="1" l="1"/>
  <c r="A111" i="1"/>
  <c r="A112" i="1" l="1"/>
  <c r="J111" i="1"/>
  <c r="A113" i="1" l="1"/>
  <c r="J112" i="1"/>
  <c r="J113" i="1" l="1"/>
  <c r="A114" i="1"/>
  <c r="J114" i="1" l="1"/>
  <c r="A115" i="1"/>
  <c r="A116" i="1" l="1"/>
  <c r="J115" i="1"/>
  <c r="A117" i="1" l="1"/>
  <c r="J116" i="1"/>
  <c r="J117" i="1" l="1"/>
  <c r="A119" i="1"/>
  <c r="K119" i="1" l="1"/>
  <c r="A123" i="1"/>
  <c r="A124" i="1" l="1"/>
  <c r="J123" i="1"/>
  <c r="A125" i="1" l="1"/>
  <c r="J124" i="1"/>
  <c r="J125" i="1" l="1"/>
  <c r="A126" i="1"/>
  <c r="J126" i="1" l="1"/>
  <c r="A127" i="1"/>
  <c r="A128" i="1" l="1"/>
  <c r="J127" i="1"/>
  <c r="A129" i="1" l="1"/>
  <c r="J128" i="1"/>
  <c r="J129" i="1" l="1"/>
  <c r="A130" i="1"/>
  <c r="J130" i="1" l="1"/>
  <c r="A131" i="1"/>
  <c r="A132" i="1" l="1"/>
  <c r="J131" i="1"/>
  <c r="A133" i="1" l="1"/>
  <c r="J132" i="1"/>
  <c r="J133" i="1" l="1"/>
  <c r="A134" i="1"/>
  <c r="J134" i="1" l="1"/>
  <c r="A135" i="1"/>
  <c r="A136" i="1" l="1"/>
  <c r="J135" i="1"/>
  <c r="A137" i="1" l="1"/>
  <c r="J136" i="1"/>
  <c r="J137" i="1" l="1"/>
  <c r="A138" i="1"/>
  <c r="J138" i="1" l="1"/>
  <c r="A139" i="1"/>
  <c r="A140" i="1" l="1"/>
  <c r="J139" i="1"/>
  <c r="A141" i="1" l="1"/>
  <c r="J140" i="1"/>
  <c r="J141" i="1" l="1"/>
  <c r="A142" i="1"/>
  <c r="J142" i="1" l="1"/>
  <c r="A143" i="1"/>
  <c r="A144" i="1" l="1"/>
  <c r="J143" i="1"/>
  <c r="A146" i="1" l="1"/>
  <c r="J144" i="1"/>
  <c r="K146" i="1" l="1"/>
  <c r="A153" i="1"/>
  <c r="K153" i="1" l="1"/>
  <c r="A154" i="1"/>
  <c r="A155" i="1" l="1"/>
  <c r="K154" i="1"/>
  <c r="K155" i="1" l="1"/>
  <c r="A156" i="1"/>
  <c r="K156" i="1" l="1"/>
  <c r="A157" i="1"/>
  <c r="A161" i="1" l="1"/>
  <c r="K157" i="1"/>
  <c r="A162" i="1" l="1"/>
  <c r="K161" i="1"/>
  <c r="K162" i="1" l="1"/>
  <c r="A163" i="1"/>
  <c r="K163" i="1" l="1"/>
  <c r="A164" i="1"/>
  <c r="A165" i="1" l="1"/>
  <c r="K164" i="1"/>
  <c r="B173" i="1" l="1"/>
  <c r="K165" i="1"/>
  <c r="K173" i="1" l="1"/>
  <c r="B174" i="1"/>
  <c r="K174" i="1" l="1"/>
  <c r="B175" i="1"/>
  <c r="B178" i="1" l="1"/>
  <c r="K175" i="1"/>
  <c r="B180" i="1" l="1"/>
  <c r="K180" i="1" s="1"/>
  <c r="I178" i="1"/>
  <c r="B179" i="1"/>
  <c r="B181" i="1" l="1"/>
  <c r="K179" i="1"/>
  <c r="K181" i="1" l="1"/>
  <c r="B186" i="1"/>
  <c r="B187" i="1" l="1"/>
  <c r="I186" i="1"/>
  <c r="K187" i="1" l="1"/>
  <c r="B192" i="1"/>
  <c r="B193" i="1" l="1"/>
  <c r="J192" i="1"/>
  <c r="B194" i="1" l="1"/>
  <c r="J193" i="1"/>
  <c r="B195" i="1" l="1"/>
  <c r="J194" i="1"/>
  <c r="B196" i="1" l="1"/>
  <c r="J195" i="1"/>
  <c r="J196" i="1" l="1"/>
  <c r="B197" i="1"/>
  <c r="J197" i="1" s="1"/>
</calcChain>
</file>

<file path=xl/sharedStrings.xml><?xml version="1.0" encoding="utf-8"?>
<sst xmlns="http://schemas.openxmlformats.org/spreadsheetml/2006/main" count="205" uniqueCount="185">
  <si>
    <t>Regional Management Issuance Trust 2018-1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</si>
  <si>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</si>
  <si>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</si>
  <si>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</si>
  <si>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</si>
  <si>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</si>
  <si>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</si>
  <si>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</si>
  <si>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</si>
  <si>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</si>
  <si>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</si>
  <si>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</si>
  <si>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</si>
  <si>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</si>
  <si>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</si>
  <si>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</si>
  <si>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2018-1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</si>
  <si>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</si>
  <si>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</si>
  <si>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</si>
  <si>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</si>
  <si>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</si>
  <si>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</si>
  <si>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</si>
  <si>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</si>
  <si>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</si>
  <si>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</si>
  <si>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</si>
  <si>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</si>
  <si>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</si>
  <si>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</si>
  <si>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</si>
  <si>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</si>
  <si>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</si>
  <si>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</si>
  <si>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</si>
  <si>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</si>
  <si>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</si>
  <si>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</si>
  <si>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</si>
  <si>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</si>
  <si>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</si>
  <si>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</si>
  <si>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</si>
  <si>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</si>
  <si>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</si>
  <si>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</si>
  <si>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</si>
  <si>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</si>
  <si>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</si>
  <si>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</si>
  <si>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</si>
  <si>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</si>
  <si>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</si>
  <si>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</si>
  <si>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</si>
  <si>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</si>
  <si>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</si>
  <si>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</si>
  <si>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</si>
  <si>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</si>
  <si>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</si>
  <si>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</si>
  <si>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</si>
  <si>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</si>
  <si>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</si>
  <si>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</si>
  <si>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</si>
  <si>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</si>
  <si>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</si>
  <si>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</si>
  <si>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</si>
  <si>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</si>
  <si>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</si>
  <si>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</si>
  <si>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</si>
  <si>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</si>
  <si>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</si>
  <si>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</si>
  <si>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</si>
  <si>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</si>
  <si>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</si>
  <si>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</si>
  <si>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</si>
  <si>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</si>
  <si>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</si>
  <si>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</si>
  <si>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</si>
  <si>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</si>
  <si>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</si>
  <si>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</si>
  <si>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</si>
  <si>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</si>
  <si>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</si>
  <si>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</si>
  <si>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</si>
  <si>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</si>
  <si>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</si>
  <si>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</si>
  <si>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</si>
  <si>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</si>
  <si>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</si>
  <si>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</si>
  <si>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</si>
  <si>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</si>
  <si>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</si>
  <si>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</si>
  <si>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</si>
  <si>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</si>
  <si>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</si>
  <si>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</si>
  <si>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</si>
  <si>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</si>
  <si>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</si>
  <si>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</si>
  <si>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Distrubution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</si>
  <si>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</si>
  <si>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</si>
  <si>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</si>
  <si>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</si>
  <si>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</si>
  <si>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</si>
  <si>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epenses)</t>
  </si>
  <si>
    <t>Owner Trustee Fees</t>
  </si>
  <si>
    <t>Backup Servicer (out of pocket expenses, other than Servicing Transition Costs)</t>
  </si>
  <si>
    <t>Image File Custodian Fee</t>
  </si>
  <si>
    <t>2018-1A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</si>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</sst>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2" borderId="9" xfId="6" applyNumberFormat="1" applyFont="1" applyFill="1" applyBorder="1" applyAlignment="1" applyProtection="1"/>
    <xf numFmtId="37" fontId="4" fillId="2" borderId="0" xfId="4" applyNumberFormat="1" applyFont="1" applyFill="1" applyBorder="1" applyProtection="1"/>
    <xf numFmtId="39" fontId="6" fillId="0" borderId="0" xfId="5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6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6" fillId="0" borderId="0" xfId="5" applyFont="1" applyBorder="1"/>
    <xf numFmtId="0" fontId="13" fillId="2" borderId="0" xfId="4" applyFont="1" applyFill="1" applyBorder="1" applyAlignment="1" applyProtection="1">
      <alignment horizontal="left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hare\Treasury\1%20-%20Treasury\01%20-%20Reports\3%20-%20Securitization%20Reporting\5%20-%20RMIT%202018-1\2%20-%20Reports\2018\11\RMIT2018-1%20MSR%20template_201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 Page"/>
    </sheetNames>
    <sheetDataSet>
      <sheetData sheetId="0"/>
      <sheetData sheetId="1">
        <row r="2">
          <cell r="B2">
            <v>43405</v>
          </cell>
          <cell r="C2">
            <v>43434</v>
          </cell>
          <cell r="D2">
            <v>43419</v>
          </cell>
          <cell r="E2">
            <v>43451</v>
          </cell>
          <cell r="F2">
            <v>156640855.36000001</v>
          </cell>
          <cell r="G2">
            <v>11994433.42</v>
          </cell>
          <cell r="I2">
            <v>-2566731.09</v>
          </cell>
          <cell r="J2">
            <v>9809876</v>
          </cell>
          <cell r="K2">
            <v>1262672.7</v>
          </cell>
          <cell r="L2">
            <v>0</v>
          </cell>
          <cell r="M2">
            <v>0</v>
          </cell>
          <cell r="N2">
            <v>152108913.56</v>
          </cell>
          <cell r="O2">
            <v>16432807.970000001</v>
          </cell>
          <cell r="P2">
            <v>0</v>
          </cell>
          <cell r="Q2">
            <v>0</v>
          </cell>
          <cell r="S2">
            <v>114100253.83</v>
          </cell>
          <cell r="T2">
            <v>42512822.350000001</v>
          </cell>
          <cell r="U2">
            <v>14994171.470000001</v>
          </cell>
          <cell r="W2">
            <v>29.538310733432599</v>
          </cell>
          <cell r="X2">
            <v>34.675012581162498</v>
          </cell>
          <cell r="Y2">
            <v>0</v>
          </cell>
          <cell r="Z2">
            <v>4608615.22</v>
          </cell>
          <cell r="AA2">
            <v>2588921.38</v>
          </cell>
          <cell r="AB2">
            <v>14672717.17</v>
          </cell>
          <cell r="AC2">
            <v>58842407.399999999</v>
          </cell>
          <cell r="AD2">
            <v>125097771.22</v>
          </cell>
          <cell r="AG2">
            <v>121475.21</v>
          </cell>
          <cell r="AH2">
            <v>267382.44000000006</v>
          </cell>
          <cell r="AI2">
            <v>0</v>
          </cell>
          <cell r="AL2">
            <v>8.5000000000000006E-3</v>
          </cell>
          <cell r="AM2">
            <v>7.3099999999999998E-2</v>
          </cell>
          <cell r="AN2" t="str">
            <v>No</v>
          </cell>
          <cell r="AO2" t="str">
            <v>No</v>
          </cell>
          <cell r="AP2">
            <v>3574804.45</v>
          </cell>
          <cell r="AQ2">
            <v>2280938.58</v>
          </cell>
          <cell r="AR2">
            <v>1672792.92</v>
          </cell>
          <cell r="AS2">
            <v>1401749.41</v>
          </cell>
          <cell r="AT2">
            <v>1039764.56</v>
          </cell>
          <cell r="AU2">
            <v>5288619.43</v>
          </cell>
          <cell r="AV2">
            <v>3736932.95</v>
          </cell>
          <cell r="AW2">
            <v>2665912.7400000002</v>
          </cell>
          <cell r="AX2">
            <v>0</v>
          </cell>
          <cell r="AY2">
            <v>0</v>
          </cell>
        </row>
        <row r="6">
          <cell r="C6">
            <v>129770000</v>
          </cell>
        </row>
        <row r="7">
          <cell r="C7">
            <v>9270000</v>
          </cell>
        </row>
        <row r="8">
          <cell r="C8">
            <v>10960000</v>
          </cell>
        </row>
        <row r="10">
          <cell r="C10">
            <v>22633.03</v>
          </cell>
        </row>
        <row r="11">
          <cell r="C11">
            <v>0</v>
          </cell>
        </row>
        <row r="13">
          <cell r="C13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4649.2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6">
          <cell r="C26">
            <v>1688068.22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7"/>
  <sheetViews>
    <sheetView tabSelected="1" zoomScale="85" zoomScaleNormal="85" workbookViewId="0"/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18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16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f>L26</f>
        <v>16526375.219999997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f>'[1]Input Page'!B2</f>
        <v>43405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f>'[1]Input Page'!C2</f>
        <v>43434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f>'[1]Input Page'!D2</f>
        <v>43419</v>
      </c>
      <c r="E9" s="6"/>
      <c r="F9" s="2"/>
      <c r="G9" s="27" t="s">
        <v>16</v>
      </c>
      <c r="H9" s="28">
        <v>44012</v>
      </c>
      <c r="I9" s="28">
        <v>43251</v>
      </c>
      <c r="J9" s="28">
        <v>43279</v>
      </c>
      <c r="K9" s="29">
        <v>168540824.88999963</v>
      </c>
      <c r="L9" s="30">
        <v>150000000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f>'[1]Input Page'!E2</f>
        <v>43451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f>D8-D7</f>
        <v>29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f>A16</f>
        <v>1</v>
      </c>
      <c r="L16" s="51">
        <f>'[1]Input Page'!F2</f>
        <v>156640855.36000001</v>
      </c>
      <c r="N16" s="3" t="s">
        <v>22</v>
      </c>
      <c r="R16" s="3" t="s">
        <v>23</v>
      </c>
      <c r="U16" s="42"/>
    </row>
    <row r="17" spans="1:21" ht="25.5" customHeight="1">
      <c r="A17" s="47">
        <f>A16+1</f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f>A17</f>
        <v>2</v>
      </c>
      <c r="L17" s="52">
        <f>'[1]Input Page'!G2</f>
        <v>11994433.42</v>
      </c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3"/>
      <c r="L18" s="53"/>
      <c r="S18" s="54"/>
      <c r="U18" s="42"/>
    </row>
    <row r="19" spans="1:21">
      <c r="A19" s="2"/>
      <c r="B19" s="47">
        <f>A17+1</f>
        <v>3</v>
      </c>
      <c r="C19" s="48" t="s">
        <v>25</v>
      </c>
      <c r="D19" s="2"/>
      <c r="E19" s="2"/>
      <c r="F19" s="2"/>
      <c r="G19" s="2"/>
      <c r="H19" s="2"/>
      <c r="I19" s="2"/>
      <c r="J19" s="50">
        <f t="shared" ref="J19:J24" si="0">B19</f>
        <v>3</v>
      </c>
      <c r="K19" s="55">
        <f>'[1]Input Page'!AU2</f>
        <v>5288619.43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f t="shared" ref="B20" si="1">B19+1</f>
        <v>4</v>
      </c>
      <c r="C20" s="48" t="s">
        <v>28</v>
      </c>
      <c r="D20" s="2"/>
      <c r="E20" s="2"/>
      <c r="F20" s="2"/>
      <c r="G20" s="2"/>
      <c r="H20" s="2"/>
      <c r="I20" s="2"/>
      <c r="J20" s="50">
        <f t="shared" si="0"/>
        <v>4</v>
      </c>
      <c r="K20" s="57">
        <f>'[1]Input Page'!J2</f>
        <v>9809876</v>
      </c>
      <c r="L20" s="58"/>
      <c r="O20" s="7"/>
      <c r="S20" s="7"/>
    </row>
    <row r="21" spans="1:21">
      <c r="A21" s="2"/>
      <c r="B21" s="59">
        <f>B20+1</f>
        <v>5</v>
      </c>
      <c r="C21" s="60" t="s">
        <v>29</v>
      </c>
      <c r="D21" s="2"/>
      <c r="E21" s="2"/>
      <c r="F21" s="2"/>
      <c r="G21" s="2"/>
      <c r="H21" s="2"/>
      <c r="I21" s="2"/>
      <c r="J21" s="50">
        <f t="shared" si="0"/>
        <v>5</v>
      </c>
      <c r="K21" s="55">
        <f>'[1]Input Page'!K2</f>
        <v>1262672.7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f>B21+1</f>
        <v>6</v>
      </c>
      <c r="C22" s="60" t="s">
        <v>32</v>
      </c>
      <c r="D22" s="2"/>
      <c r="E22" s="2"/>
      <c r="F22" s="2"/>
      <c r="G22" s="2"/>
      <c r="H22" s="2"/>
      <c r="I22" s="2"/>
      <c r="J22" s="50">
        <f t="shared" si="0"/>
        <v>6</v>
      </c>
      <c r="K22" s="55">
        <f>'[1]Input Page'!I2+'[1]Input Page'!AW2</f>
        <v>99181.650000000373</v>
      </c>
      <c r="L22" s="61"/>
      <c r="N22" s="7"/>
      <c r="O22" s="7"/>
      <c r="S22" s="62"/>
      <c r="T22" s="7"/>
      <c r="U22" s="7"/>
    </row>
    <row r="23" spans="1:21">
      <c r="A23" s="2"/>
      <c r="B23" s="59">
        <f>B22+1</f>
        <v>7</v>
      </c>
      <c r="C23" s="60" t="s">
        <v>33</v>
      </c>
      <c r="D23" s="2"/>
      <c r="E23" s="2"/>
      <c r="F23" s="2"/>
      <c r="G23" s="2"/>
      <c r="H23" s="2"/>
      <c r="I23" s="2"/>
      <c r="J23" s="50">
        <f t="shared" si="0"/>
        <v>7</v>
      </c>
      <c r="K23" s="52">
        <f>'[1]Input Page'!L2</f>
        <v>0</v>
      </c>
      <c r="L23" s="58"/>
      <c r="N23" s="3" t="s">
        <v>34</v>
      </c>
      <c r="O23" s="7"/>
      <c r="S23" s="7"/>
      <c r="T23" s="54"/>
    </row>
    <row r="24" spans="1:21">
      <c r="A24" s="2"/>
      <c r="B24" s="59">
        <f>B23+1</f>
        <v>8</v>
      </c>
      <c r="C24" s="60" t="s">
        <v>35</v>
      </c>
      <c r="D24" s="2"/>
      <c r="E24" s="2"/>
      <c r="F24" s="2"/>
      <c r="G24" s="2"/>
      <c r="H24" s="2"/>
      <c r="I24" s="63"/>
      <c r="J24" s="50">
        <f t="shared" si="0"/>
        <v>8</v>
      </c>
      <c r="K24" s="55">
        <f>(L17+L16)-(SUM(K19:K23))-L27</f>
        <v>66025.439999997616</v>
      </c>
      <c r="L24" s="58"/>
      <c r="N24" s="3" t="s">
        <v>36</v>
      </c>
      <c r="O24" s="7"/>
      <c r="R24" s="3" t="s">
        <v>37</v>
      </c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4"/>
      <c r="L25" s="53"/>
      <c r="T25" s="7"/>
    </row>
    <row r="26" spans="1:21">
      <c r="A26" s="47">
        <f>B24+1</f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f>A26</f>
        <v>9</v>
      </c>
      <c r="L26" s="57">
        <f>SUM(K19,K20,K21,K23,K24,K22)</f>
        <v>16526375.219999997</v>
      </c>
      <c r="R26" s="3" t="s">
        <v>39</v>
      </c>
      <c r="S26" s="7"/>
      <c r="T26" s="65"/>
      <c r="U26" s="7"/>
    </row>
    <row r="27" spans="1:21" ht="22.5" customHeight="1">
      <c r="A27" s="47">
        <f>A26+1</f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f>A27</f>
        <v>10</v>
      </c>
      <c r="L27" s="57">
        <f>'[1]Input Page'!N2</f>
        <v>152108913.56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6"/>
      <c r="S28" s="7"/>
      <c r="U28" s="7"/>
    </row>
    <row r="29" spans="1:21">
      <c r="A29" s="47">
        <f>A27+1</f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f>A29</f>
        <v>11</v>
      </c>
      <c r="L29" s="51">
        <f>'[1]Input Page'!M2</f>
        <v>0</v>
      </c>
      <c r="R29" s="3" t="s">
        <v>39</v>
      </c>
      <c r="S29" s="7"/>
      <c r="U29" s="7"/>
    </row>
    <row r="30" spans="1:21" ht="22.5" customHeight="1">
      <c r="A30" s="47">
        <f>A29+1</f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f>A30</f>
        <v>12</v>
      </c>
      <c r="L30" s="57">
        <f>L27-L29</f>
        <v>152108913.56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6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6"/>
      <c r="S33" s="7"/>
      <c r="U33" s="7"/>
    </row>
    <row r="34" spans="1:23">
      <c r="A34" s="47">
        <f>A30+1</f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f>A34</f>
        <v>13</v>
      </c>
      <c r="L34" s="57">
        <f>L30</f>
        <v>152108913.56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6"/>
      <c r="S35" s="7"/>
      <c r="U35" s="7"/>
    </row>
    <row r="36" spans="1:23">
      <c r="A36" s="47">
        <f>A34+1</f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f>A36</f>
        <v>14</v>
      </c>
      <c r="L36" s="57">
        <f>'[1]Input Page'!O2</f>
        <v>16432807.970000001</v>
      </c>
      <c r="S36" s="7"/>
      <c r="U36" s="7"/>
    </row>
    <row r="37" spans="1:23">
      <c r="A37" s="47">
        <f>A36+1</f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f>A37</f>
        <v>15</v>
      </c>
      <c r="L37" s="52">
        <f>'[1]Input Page'!P2</f>
        <v>0</v>
      </c>
      <c r="S37" s="7"/>
      <c r="U37" s="7"/>
    </row>
    <row r="38" spans="1:23">
      <c r="A38" s="47">
        <f>A37+1</f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f>A38</f>
        <v>16</v>
      </c>
      <c r="L38" s="52">
        <f>'[1]Input Page'!Q2</f>
        <v>0</v>
      </c>
      <c r="S38" s="7"/>
      <c r="U38" s="7"/>
    </row>
    <row r="39" spans="1:23">
      <c r="A39" s="47">
        <f>A38+1</f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f>A39</f>
        <v>17</v>
      </c>
      <c r="L39" s="52">
        <f>K23</f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6"/>
      <c r="S40" s="7"/>
      <c r="U40" s="7"/>
    </row>
    <row r="41" spans="1:23">
      <c r="A41" s="47">
        <f>A39+1</f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f>A41</f>
        <v>18</v>
      </c>
      <c r="L41" s="57">
        <f>L34+L36-L37+L38+L39</f>
        <v>168541721.53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6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17" t="s">
        <v>52</v>
      </c>
      <c r="C46" s="218"/>
      <c r="D46" s="218"/>
      <c r="E46" s="218"/>
      <c r="F46" s="218"/>
      <c r="G46" s="219"/>
      <c r="H46" s="2"/>
      <c r="I46" s="2"/>
      <c r="J46" s="2"/>
      <c r="K46" s="53"/>
      <c r="L46" s="53"/>
    </row>
    <row r="47" spans="1:23" ht="20.25" customHeight="1">
      <c r="A47" s="47"/>
      <c r="B47" s="220" t="s">
        <v>53</v>
      </c>
      <c r="C47" s="221"/>
      <c r="D47" s="222"/>
      <c r="E47" s="67" t="s">
        <v>54</v>
      </c>
      <c r="F47" s="67" t="s">
        <v>55</v>
      </c>
      <c r="G47" s="67" t="s">
        <v>56</v>
      </c>
      <c r="H47" s="17"/>
      <c r="I47" s="17"/>
      <c r="J47" s="63"/>
      <c r="K47" s="63"/>
      <c r="L47" s="63"/>
      <c r="M47" s="63"/>
      <c r="N47" s="63"/>
      <c r="O47" s="63"/>
      <c r="P47" s="63"/>
      <c r="Q47" s="63"/>
      <c r="R47" s="63"/>
      <c r="U47" s="7"/>
      <c r="W47" s="68"/>
    </row>
    <row r="48" spans="1:23" ht="21.75" customHeight="1">
      <c r="A48" s="47"/>
      <c r="B48" s="204" t="s">
        <v>57</v>
      </c>
      <c r="C48" s="205"/>
      <c r="D48" s="205"/>
      <c r="E48" s="69">
        <f>'[1]Input Page'!S2/$L$41</f>
        <v>0.6769852164450002</v>
      </c>
      <c r="F48" s="70">
        <v>0.8</v>
      </c>
      <c r="G48" s="71" t="str">
        <f>IF(E48&lt;F48,"Yes","no")</f>
        <v>Yes</v>
      </c>
      <c r="H48" s="72"/>
      <c r="I48" s="72"/>
      <c r="J48" s="63"/>
      <c r="K48" s="63"/>
      <c r="L48" s="63"/>
      <c r="M48" s="63"/>
      <c r="N48" s="63"/>
      <c r="O48" s="63"/>
      <c r="P48" s="63"/>
      <c r="Q48" s="63"/>
      <c r="R48" s="63"/>
      <c r="U48" s="7"/>
      <c r="W48" s="68"/>
    </row>
    <row r="49" spans="1:23">
      <c r="A49" s="47"/>
      <c r="B49" s="204" t="s">
        <v>58</v>
      </c>
      <c r="C49" s="205"/>
      <c r="D49" s="205"/>
      <c r="E49" s="73">
        <f>'[1]Input Page'!T2/L41</f>
        <v>0.25223916051215145</v>
      </c>
      <c r="F49" s="70">
        <v>0.35</v>
      </c>
      <c r="G49" s="71" t="str">
        <f>IF(E49&lt;F49,"Yes","no")</f>
        <v>Yes</v>
      </c>
      <c r="H49" s="72"/>
      <c r="I49" s="72"/>
      <c r="J49" s="63"/>
      <c r="K49" s="63"/>
      <c r="L49" s="63"/>
      <c r="M49" s="63"/>
      <c r="N49" s="63"/>
      <c r="O49" s="63"/>
      <c r="P49" s="63"/>
      <c r="Q49" s="63"/>
      <c r="R49" s="63"/>
      <c r="U49" s="7"/>
      <c r="W49" s="68"/>
    </row>
    <row r="50" spans="1:23">
      <c r="A50" s="47"/>
      <c r="B50" s="204" t="s">
        <v>59</v>
      </c>
      <c r="C50" s="205"/>
      <c r="D50" s="205"/>
      <c r="E50" s="73">
        <f>'[1]Input Page'!U2/L41</f>
        <v>8.896415281560463E-2</v>
      </c>
      <c r="F50" s="70">
        <v>0.17499999999999999</v>
      </c>
      <c r="G50" s="71" t="str">
        <f>IF(E50&lt;F50,"Yes","no")</f>
        <v>Yes</v>
      </c>
      <c r="H50" s="72"/>
      <c r="I50" s="72"/>
      <c r="J50" s="63"/>
      <c r="K50" s="63"/>
      <c r="L50" s="63"/>
      <c r="M50" s="63"/>
      <c r="N50" s="63"/>
      <c r="O50" s="63"/>
      <c r="P50" s="63"/>
      <c r="Q50" s="63"/>
      <c r="R50" s="63"/>
      <c r="U50" s="7"/>
      <c r="W50" s="68"/>
    </row>
    <row r="51" spans="1:23">
      <c r="A51" s="47"/>
      <c r="B51" s="204" t="s">
        <v>60</v>
      </c>
      <c r="C51" s="205"/>
      <c r="D51" s="205"/>
      <c r="E51" s="73">
        <f>'[1]Input Page'!W2/100</f>
        <v>0.29538310733432599</v>
      </c>
      <c r="F51" s="70">
        <v>0.24</v>
      </c>
      <c r="G51" s="71" t="str">
        <f>IF(E51&lt;F51,"no","Yes")</f>
        <v>Yes</v>
      </c>
      <c r="H51" s="72"/>
      <c r="I51" s="72"/>
      <c r="J51" s="63"/>
      <c r="K51" s="63"/>
      <c r="L51" s="63"/>
      <c r="M51" s="63"/>
      <c r="N51" s="63"/>
      <c r="O51" s="63"/>
      <c r="P51" s="63"/>
      <c r="Q51" s="63"/>
      <c r="R51" s="63"/>
      <c r="U51" s="7"/>
      <c r="W51" s="68"/>
    </row>
    <row r="52" spans="1:23">
      <c r="A52" s="47"/>
      <c r="B52" s="204" t="s">
        <v>61</v>
      </c>
      <c r="C52" s="205"/>
      <c r="D52" s="205"/>
      <c r="E52" s="74">
        <f>'[1]Input Page'!X2</f>
        <v>34.675012581162498</v>
      </c>
      <c r="F52" s="75">
        <v>45</v>
      </c>
      <c r="G52" s="71" t="str">
        <f t="shared" ref="G52:G58" si="2">IF(E52&lt;F52,"Yes","no")</f>
        <v>Yes</v>
      </c>
      <c r="H52" s="72"/>
      <c r="I52" s="72"/>
      <c r="J52" s="63"/>
      <c r="K52" s="63"/>
      <c r="L52" s="63"/>
      <c r="M52" s="63"/>
      <c r="N52" s="63"/>
      <c r="O52" s="63"/>
      <c r="P52" s="63"/>
      <c r="Q52" s="63"/>
      <c r="R52" s="63"/>
      <c r="U52" s="7"/>
      <c r="W52" s="68"/>
    </row>
    <row r="53" spans="1:23">
      <c r="A53" s="47"/>
      <c r="B53" s="204" t="s">
        <v>62</v>
      </c>
      <c r="C53" s="205"/>
      <c r="D53" s="205"/>
      <c r="E53" s="73">
        <f>'[1]Input Page'!Y2/L41</f>
        <v>0</v>
      </c>
      <c r="F53" s="70">
        <v>0.05</v>
      </c>
      <c r="G53" s="71" t="str">
        <f t="shared" si="2"/>
        <v>Yes</v>
      </c>
      <c r="H53" s="72"/>
      <c r="I53" s="72"/>
      <c r="J53" s="63"/>
      <c r="K53" s="63"/>
      <c r="L53" s="63"/>
      <c r="M53" s="63"/>
      <c r="N53" s="63"/>
      <c r="O53" s="63"/>
      <c r="P53" s="63"/>
      <c r="Q53" s="63"/>
      <c r="R53" s="63"/>
      <c r="U53" s="7"/>
      <c r="W53" s="68"/>
    </row>
    <row r="54" spans="1:23">
      <c r="A54" s="47"/>
      <c r="B54" s="204" t="s">
        <v>63</v>
      </c>
      <c r="C54" s="205"/>
      <c r="D54" s="205"/>
      <c r="E54" s="73">
        <f>'[1]Input Page'!Z2/L41</f>
        <v>2.7344061625593861E-2</v>
      </c>
      <c r="F54" s="70">
        <v>0.1</v>
      </c>
      <c r="G54" s="71" t="str">
        <f t="shared" si="2"/>
        <v>Yes</v>
      </c>
      <c r="H54" s="72"/>
      <c r="I54" s="72"/>
      <c r="J54" s="63"/>
      <c r="K54" s="63"/>
      <c r="L54" s="63"/>
      <c r="M54" s="63"/>
      <c r="N54" s="63"/>
      <c r="O54" s="63"/>
      <c r="P54" s="63"/>
      <c r="Q54" s="63"/>
      <c r="R54" s="63"/>
      <c r="U54" s="7"/>
      <c r="W54" s="68"/>
    </row>
    <row r="55" spans="1:23">
      <c r="A55" s="47"/>
      <c r="B55" s="204" t="s">
        <v>64</v>
      </c>
      <c r="C55" s="205"/>
      <c r="D55" s="205"/>
      <c r="E55" s="73">
        <f>'[1]Input Page'!AA2/L41</f>
        <v>1.536071517780942E-2</v>
      </c>
      <c r="F55" s="70">
        <v>0.08</v>
      </c>
      <c r="G55" s="71" t="str">
        <f t="shared" si="2"/>
        <v>Yes</v>
      </c>
      <c r="H55" s="72"/>
      <c r="I55" s="72"/>
      <c r="J55" s="63"/>
      <c r="K55" s="63"/>
      <c r="L55" s="63"/>
      <c r="M55" s="63"/>
      <c r="N55" s="63"/>
      <c r="O55" s="63"/>
      <c r="P55" s="63"/>
      <c r="Q55" s="63"/>
      <c r="R55" s="63"/>
      <c r="U55" s="7"/>
      <c r="W55" s="68"/>
    </row>
    <row r="56" spans="1:23">
      <c r="A56" s="47"/>
      <c r="B56" s="204" t="s">
        <v>65</v>
      </c>
      <c r="C56" s="205"/>
      <c r="D56" s="205"/>
      <c r="E56" s="73">
        <f>'[1]Input Page'!AB2/L41</f>
        <v>8.7056884412968882E-2</v>
      </c>
      <c r="F56" s="70">
        <v>0.22</v>
      </c>
      <c r="G56" s="71" t="str">
        <f t="shared" si="2"/>
        <v>Yes</v>
      </c>
      <c r="H56" s="72"/>
      <c r="I56" s="72"/>
      <c r="J56" s="63"/>
      <c r="K56" s="63"/>
      <c r="L56" s="63"/>
      <c r="M56" s="63"/>
      <c r="N56" s="63"/>
      <c r="O56" s="63"/>
      <c r="P56" s="63"/>
      <c r="Q56" s="63"/>
      <c r="R56" s="63"/>
      <c r="U56" s="7"/>
      <c r="W56" s="68"/>
    </row>
    <row r="57" spans="1:23">
      <c r="A57" s="47"/>
      <c r="B57" s="204" t="s">
        <v>66</v>
      </c>
      <c r="C57" s="205"/>
      <c r="D57" s="205"/>
      <c r="E57" s="73">
        <f>'[1]Input Page'!AC2/L41</f>
        <v>0.34912665461012393</v>
      </c>
      <c r="F57" s="70">
        <v>0.55000000000000004</v>
      </c>
      <c r="G57" s="71" t="str">
        <f t="shared" si="2"/>
        <v>Yes</v>
      </c>
      <c r="H57" s="72"/>
      <c r="I57" s="72"/>
      <c r="J57" s="63"/>
      <c r="K57" s="63"/>
      <c r="L57" s="63"/>
      <c r="M57" s="63"/>
      <c r="N57" s="63"/>
      <c r="O57" s="63"/>
      <c r="P57" s="63"/>
      <c r="Q57" s="63"/>
      <c r="R57" s="63"/>
      <c r="U57" s="7"/>
      <c r="W57" s="68"/>
    </row>
    <row r="58" spans="1:23">
      <c r="A58" s="47"/>
      <c r="B58" s="206" t="s">
        <v>67</v>
      </c>
      <c r="C58" s="207"/>
      <c r="D58" s="207"/>
      <c r="E58" s="73">
        <f>'[1]Input Page'!AD2/L41</f>
        <v>0.74223622545431822</v>
      </c>
      <c r="F58" s="76">
        <v>0.9</v>
      </c>
      <c r="G58" s="71" t="str">
        <f t="shared" si="2"/>
        <v>Yes</v>
      </c>
      <c r="H58" s="72"/>
      <c r="I58" s="72"/>
      <c r="J58" s="63"/>
      <c r="K58" s="63"/>
      <c r="L58" s="63"/>
      <c r="M58" s="63"/>
      <c r="N58" s="63"/>
      <c r="O58" s="63"/>
      <c r="P58" s="63"/>
      <c r="Q58" s="63"/>
      <c r="R58" s="63"/>
      <c r="U58" s="7"/>
      <c r="W58" s="68"/>
    </row>
    <row r="59" spans="1:23" ht="24.75" customHeight="1">
      <c r="A59" s="47"/>
      <c r="B59" s="208" t="s">
        <v>68</v>
      </c>
      <c r="C59" s="209"/>
      <c r="D59" s="209"/>
      <c r="E59" s="209"/>
      <c r="F59" s="210"/>
      <c r="G59" s="211" t="str">
        <f>IF(F63&gt;F68,"Yes","No")</f>
        <v>Yes</v>
      </c>
      <c r="H59" s="72"/>
      <c r="I59" s="72"/>
      <c r="J59" s="63"/>
      <c r="K59" s="63"/>
      <c r="L59" s="63"/>
      <c r="M59" s="63"/>
      <c r="N59" s="63"/>
      <c r="O59" s="63"/>
      <c r="P59" s="63"/>
      <c r="Q59" s="63"/>
      <c r="R59" s="63"/>
      <c r="U59" s="7"/>
      <c r="W59" s="68"/>
    </row>
    <row r="60" spans="1:23" ht="24.75" customHeight="1">
      <c r="A60" s="47"/>
      <c r="B60" s="77"/>
      <c r="C60" s="78"/>
      <c r="D60" s="78"/>
      <c r="E60" s="48"/>
      <c r="F60" s="79"/>
      <c r="G60" s="212"/>
      <c r="H60" s="72"/>
      <c r="I60" s="72"/>
      <c r="J60" s="63"/>
      <c r="K60" s="63"/>
      <c r="L60" s="63"/>
      <c r="M60" s="63"/>
      <c r="N60" s="63"/>
      <c r="O60" s="63"/>
      <c r="P60" s="63"/>
      <c r="Q60" s="63"/>
      <c r="R60" s="63"/>
      <c r="U60" s="7"/>
      <c r="W60" s="68"/>
    </row>
    <row r="61" spans="1:23" ht="18">
      <c r="A61" s="47"/>
      <c r="B61" s="80"/>
      <c r="C61" s="48" t="s">
        <v>49</v>
      </c>
      <c r="D61" s="81"/>
      <c r="E61" s="82">
        <f>L41</f>
        <v>168541721.53</v>
      </c>
      <c r="F61" s="70"/>
      <c r="G61" s="212"/>
      <c r="H61" s="72"/>
      <c r="I61" s="72"/>
      <c r="J61" s="63"/>
      <c r="K61" s="63"/>
      <c r="L61" s="63"/>
      <c r="M61" s="63"/>
      <c r="N61" s="63"/>
      <c r="O61" s="63"/>
      <c r="P61" s="63"/>
      <c r="Q61" s="63"/>
      <c r="R61" s="63"/>
      <c r="U61" s="7"/>
      <c r="W61" s="68"/>
    </row>
    <row r="62" spans="1:23" ht="21.75" customHeight="1">
      <c r="A62" s="47"/>
      <c r="B62" s="83"/>
      <c r="C62" s="81" t="s">
        <v>69</v>
      </c>
      <c r="D62" s="84"/>
      <c r="E62" s="85">
        <v>18540824.890000001</v>
      </c>
      <c r="F62" s="81"/>
      <c r="G62" s="212"/>
      <c r="H62" s="72"/>
      <c r="I62" s="72"/>
      <c r="J62" s="63"/>
      <c r="K62" s="63"/>
      <c r="L62" s="63"/>
      <c r="M62" s="63"/>
      <c r="N62" s="63"/>
      <c r="O62" s="63"/>
      <c r="P62" s="63"/>
      <c r="Q62" s="63"/>
      <c r="R62" s="63"/>
      <c r="U62" s="7"/>
      <c r="W62" s="68"/>
    </row>
    <row r="63" spans="1:23" ht="31.5" customHeight="1">
      <c r="A63" s="47"/>
      <c r="B63" s="86" t="s">
        <v>70</v>
      </c>
      <c r="C63" s="87" t="s">
        <v>71</v>
      </c>
      <c r="D63" s="84"/>
      <c r="E63" s="88" t="str">
        <f>B63</f>
        <v>(a)</v>
      </c>
      <c r="F63" s="89">
        <f>E61-E62</f>
        <v>150000896.63999999</v>
      </c>
      <c r="G63" s="212"/>
      <c r="H63" s="72"/>
      <c r="I63" s="72"/>
      <c r="J63" s="63"/>
      <c r="K63" s="63"/>
      <c r="L63" s="63"/>
      <c r="M63" s="63"/>
      <c r="N63" s="63"/>
      <c r="O63" s="63"/>
      <c r="P63" s="63"/>
      <c r="Q63" s="63"/>
      <c r="R63" s="63"/>
      <c r="U63" s="7"/>
      <c r="W63" s="68"/>
    </row>
    <row r="64" spans="1:23">
      <c r="A64" s="47"/>
      <c r="B64" s="90"/>
      <c r="C64" s="81"/>
      <c r="D64" s="84"/>
      <c r="E64" s="72"/>
      <c r="F64" s="91"/>
      <c r="G64" s="212"/>
      <c r="H64" s="72"/>
      <c r="I64" s="72"/>
      <c r="J64" s="63"/>
      <c r="K64" s="63"/>
      <c r="L64" s="63"/>
      <c r="M64" s="63"/>
      <c r="N64" s="63"/>
      <c r="O64" s="63"/>
      <c r="P64" s="63"/>
      <c r="Q64" s="63"/>
      <c r="R64" s="63"/>
      <c r="U64" s="7"/>
      <c r="W64" s="68"/>
    </row>
    <row r="65" spans="1:23" ht="35.25" customHeight="1">
      <c r="A65" s="47"/>
      <c r="B65" s="92"/>
      <c r="C65" s="214" t="s">
        <v>72</v>
      </c>
      <c r="D65" s="214"/>
      <c r="E65" s="93">
        <f>L86</f>
        <v>150000000</v>
      </c>
      <c r="F65" s="70"/>
      <c r="G65" s="212"/>
      <c r="H65" s="72"/>
      <c r="I65" s="72"/>
      <c r="J65" s="63"/>
      <c r="K65" s="63"/>
      <c r="L65" s="63"/>
      <c r="M65" s="63"/>
      <c r="N65" s="63"/>
      <c r="O65" s="63"/>
      <c r="P65" s="63"/>
      <c r="Q65" s="63"/>
      <c r="R65" s="63"/>
      <c r="U65" s="7"/>
      <c r="W65" s="68"/>
    </row>
    <row r="66" spans="1:23" ht="6" customHeight="1">
      <c r="A66" s="47"/>
      <c r="B66" s="90"/>
      <c r="C66" s="48"/>
      <c r="D66" s="84"/>
      <c r="E66" s="94"/>
      <c r="F66" s="70"/>
      <c r="G66" s="212"/>
      <c r="H66" s="72"/>
      <c r="I66" s="72"/>
      <c r="J66" s="63"/>
      <c r="K66" s="63"/>
      <c r="L66" s="63"/>
      <c r="M66" s="63"/>
      <c r="N66" s="63"/>
      <c r="O66" s="63"/>
      <c r="P66" s="63"/>
      <c r="Q66" s="63"/>
      <c r="R66" s="63"/>
      <c r="U66" s="7"/>
      <c r="W66" s="68"/>
    </row>
    <row r="67" spans="1:23" ht="62.25" customHeight="1">
      <c r="A67" s="47"/>
      <c r="B67" s="95"/>
      <c r="C67" s="214" t="s">
        <v>73</v>
      </c>
      <c r="D67" s="214"/>
      <c r="E67" s="96">
        <f>L165</f>
        <v>0</v>
      </c>
      <c r="F67" s="97"/>
      <c r="G67" s="212"/>
      <c r="H67" s="72"/>
      <c r="I67" s="72"/>
      <c r="J67" s="63"/>
      <c r="K67" s="63"/>
      <c r="L67" s="63"/>
      <c r="M67" s="63"/>
      <c r="N67" s="63"/>
      <c r="O67" s="63"/>
      <c r="P67" s="63"/>
      <c r="Q67" s="63"/>
      <c r="R67" s="63"/>
      <c r="U67" s="7"/>
      <c r="W67" s="68"/>
    </row>
    <row r="68" spans="1:23" ht="31.5" customHeight="1">
      <c r="A68" s="47"/>
      <c r="B68" s="86" t="s">
        <v>74</v>
      </c>
      <c r="C68" s="81" t="s">
        <v>71</v>
      </c>
      <c r="D68" s="84"/>
      <c r="E68" s="88" t="str">
        <f>B68</f>
        <v>(b)</v>
      </c>
      <c r="F68" s="89">
        <f>E65-E67</f>
        <v>150000000</v>
      </c>
      <c r="G68" s="212"/>
      <c r="H68" s="72"/>
      <c r="I68" s="72"/>
      <c r="J68" s="63"/>
      <c r="K68" s="63"/>
      <c r="L68" s="63"/>
      <c r="M68" s="63"/>
      <c r="N68" s="63"/>
      <c r="O68" s="63"/>
      <c r="P68" s="63"/>
      <c r="Q68" s="63"/>
      <c r="R68" s="63"/>
      <c r="U68" s="7"/>
      <c r="W68" s="68"/>
    </row>
    <row r="69" spans="1:23">
      <c r="A69" s="47"/>
      <c r="B69" s="98"/>
      <c r="C69" s="84"/>
      <c r="D69" s="63"/>
      <c r="E69" s="63"/>
      <c r="G69" s="212"/>
      <c r="H69" s="72"/>
      <c r="I69" s="72"/>
      <c r="J69" s="63"/>
      <c r="K69" s="63"/>
      <c r="L69" s="63"/>
      <c r="M69" s="63"/>
      <c r="N69" s="63"/>
      <c r="O69" s="63"/>
      <c r="P69" s="63"/>
      <c r="Q69" s="63"/>
      <c r="R69" s="63"/>
      <c r="U69" s="7"/>
      <c r="W69" s="68"/>
    </row>
    <row r="70" spans="1:23" ht="18">
      <c r="A70" s="47"/>
      <c r="B70" s="98"/>
      <c r="C70" s="99" t="s">
        <v>75</v>
      </c>
      <c r="D70" s="84"/>
      <c r="E70" s="100"/>
      <c r="F70" s="100"/>
      <c r="G70" s="212"/>
      <c r="H70" s="72"/>
      <c r="I70" s="72"/>
      <c r="J70" s="63"/>
      <c r="K70" s="63"/>
      <c r="L70" s="63"/>
      <c r="M70" s="63"/>
      <c r="N70" s="63"/>
      <c r="O70" s="63"/>
      <c r="P70" s="63"/>
      <c r="Q70" s="63"/>
      <c r="R70" s="63"/>
      <c r="U70" s="7"/>
      <c r="W70" s="68"/>
    </row>
    <row r="71" spans="1:23" ht="18">
      <c r="A71" s="47"/>
      <c r="B71" s="101"/>
      <c r="C71" s="102"/>
      <c r="D71" s="102"/>
      <c r="E71" s="103"/>
      <c r="F71" s="104"/>
      <c r="G71" s="213"/>
      <c r="H71" s="72"/>
      <c r="I71" s="72"/>
      <c r="J71" s="63"/>
      <c r="K71" s="63"/>
      <c r="L71" s="63"/>
      <c r="M71" s="63"/>
      <c r="N71" s="63"/>
      <c r="O71" s="63"/>
      <c r="P71" s="63"/>
      <c r="Q71" s="63"/>
      <c r="R71" s="63"/>
      <c r="S71" s="105"/>
      <c r="U71" s="7"/>
      <c r="W71" s="68"/>
    </row>
    <row r="72" spans="1:23">
      <c r="A72" s="47"/>
      <c r="B72" s="84"/>
      <c r="C72" s="84"/>
      <c r="D72" s="84"/>
      <c r="E72" s="91"/>
      <c r="F72" s="106"/>
      <c r="G72" s="72"/>
      <c r="H72" s="72"/>
      <c r="I72" s="72"/>
      <c r="J72" s="63"/>
      <c r="K72" s="63"/>
      <c r="L72" s="63"/>
      <c r="M72" s="63"/>
      <c r="N72" s="63"/>
      <c r="O72" s="63"/>
      <c r="P72" s="63"/>
      <c r="Q72" s="63"/>
      <c r="R72" s="63"/>
      <c r="U72" s="7"/>
      <c r="W72" s="68"/>
    </row>
    <row r="73" spans="1:23">
      <c r="A73" s="47">
        <f>A41+1</f>
        <v>19</v>
      </c>
      <c r="B73" s="48" t="s">
        <v>76</v>
      </c>
      <c r="C73" s="2"/>
      <c r="D73" s="2"/>
      <c r="E73" s="2"/>
      <c r="F73" s="2"/>
      <c r="G73" s="107"/>
      <c r="H73" s="107"/>
      <c r="I73" s="107"/>
      <c r="J73" s="63"/>
      <c r="K73" s="50">
        <f>A73</f>
        <v>19</v>
      </c>
      <c r="L73" s="108" t="str">
        <f>IF(AND(G48="yes",G49="yes",G50="yes",G51="yes",G52="yes",G53="yes",G54="yes",G55="yes",G56="yes",G57="yes",G58="yes",F63&gt;=F68),"No","Yes")</f>
        <v>No</v>
      </c>
      <c r="U73" s="7"/>
      <c r="W73" s="68"/>
    </row>
    <row r="74" spans="1:23">
      <c r="A74" s="47"/>
      <c r="B74" s="48"/>
      <c r="C74" s="2"/>
      <c r="D74" s="2"/>
      <c r="E74" s="2"/>
      <c r="F74" s="2"/>
      <c r="G74" s="107"/>
      <c r="H74" s="107"/>
      <c r="I74" s="107"/>
      <c r="J74" s="63"/>
      <c r="K74" s="50"/>
      <c r="L74" s="63"/>
      <c r="U74" s="7"/>
      <c r="W74" s="68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09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0"/>
      <c r="Q76" s="3" t="s">
        <v>79</v>
      </c>
    </row>
    <row r="77" spans="1:23">
      <c r="A77" s="111"/>
      <c r="B77" s="111"/>
      <c r="C77" s="111"/>
      <c r="D77" s="2"/>
      <c r="E77" s="2"/>
      <c r="F77" s="112"/>
      <c r="G77" s="2"/>
      <c r="H77" s="2"/>
      <c r="I77" s="113" t="s">
        <v>80</v>
      </c>
      <c r="J77" s="113" t="s">
        <v>81</v>
      </c>
      <c r="K77" s="114" t="s">
        <v>82</v>
      </c>
      <c r="L77" s="67" t="s">
        <v>83</v>
      </c>
      <c r="N77" s="7"/>
    </row>
    <row r="78" spans="1:23">
      <c r="A78" s="47">
        <f>A73+1</f>
        <v>20</v>
      </c>
      <c r="B78" s="2" t="s">
        <v>84</v>
      </c>
      <c r="C78" s="2"/>
      <c r="D78" s="2"/>
      <c r="E78" s="111"/>
      <c r="F78" s="112"/>
      <c r="H78" s="50">
        <f>A78</f>
        <v>20</v>
      </c>
      <c r="I78" s="115">
        <v>129770000</v>
      </c>
      <c r="J78" s="115">
        <v>9270000</v>
      </c>
      <c r="K78" s="116">
        <v>10960000</v>
      </c>
      <c r="L78" s="115">
        <f>I78+J78+K78</f>
        <v>150000000</v>
      </c>
    </row>
    <row r="79" spans="1:23">
      <c r="A79" s="47">
        <f>A78+1</f>
        <v>21</v>
      </c>
      <c r="B79" s="2" t="s">
        <v>85</v>
      </c>
      <c r="C79" s="2"/>
      <c r="D79" s="2"/>
      <c r="E79" s="111"/>
      <c r="F79" s="112"/>
      <c r="G79" s="111"/>
      <c r="H79" s="50"/>
      <c r="I79" s="117">
        <f>'[1]Input Page'!C6</f>
        <v>129770000</v>
      </c>
      <c r="J79" s="117">
        <f>'[1]Input Page'!C7</f>
        <v>9270000</v>
      </c>
      <c r="K79" s="117">
        <f>'[1]Input Page'!C8</f>
        <v>10960000</v>
      </c>
      <c r="L79" s="117">
        <f>SUM(I79:K79)</f>
        <v>150000000</v>
      </c>
    </row>
    <row r="80" spans="1:23">
      <c r="A80" s="47"/>
      <c r="B80" s="48"/>
      <c r="C80" s="2"/>
      <c r="D80" s="2"/>
      <c r="E80" s="111"/>
      <c r="F80" s="111"/>
      <c r="G80" s="111"/>
      <c r="H80" s="50"/>
      <c r="I80" s="117"/>
      <c r="J80" s="117"/>
      <c r="K80" s="118"/>
      <c r="L80" s="117"/>
    </row>
    <row r="81" spans="1:20">
      <c r="A81" s="47">
        <f>A79+1</f>
        <v>22</v>
      </c>
      <c r="B81" s="48" t="s">
        <v>86</v>
      </c>
      <c r="C81" s="2"/>
      <c r="D81" s="2"/>
      <c r="E81" s="111"/>
      <c r="F81" s="111"/>
      <c r="G81" s="111"/>
      <c r="H81" s="50">
        <f>A81</f>
        <v>22</v>
      </c>
      <c r="I81" s="117">
        <f>IF(D8&gt;=H9,K134,0)</f>
        <v>0</v>
      </c>
      <c r="J81" s="117">
        <v>0</v>
      </c>
      <c r="K81" s="117">
        <v>0</v>
      </c>
      <c r="L81" s="117">
        <f>SUM(I81:K81)</f>
        <v>0</v>
      </c>
    </row>
    <row r="82" spans="1:20">
      <c r="A82" s="47">
        <f t="shared" ref="A82:A83" si="3">A81+1</f>
        <v>23</v>
      </c>
      <c r="B82" s="48" t="s">
        <v>87</v>
      </c>
      <c r="C82" s="2"/>
      <c r="D82" s="2"/>
      <c r="E82" s="111"/>
      <c r="F82" s="111"/>
      <c r="G82" s="111"/>
      <c r="H82" s="50">
        <f>A82</f>
        <v>23</v>
      </c>
      <c r="I82" s="117">
        <v>0</v>
      </c>
      <c r="J82" s="117">
        <f>IF(D8&gt;=H9,K136,0)</f>
        <v>0</v>
      </c>
      <c r="K82" s="117">
        <v>0</v>
      </c>
      <c r="L82" s="117">
        <f t="shared" ref="L82:L83" si="4">SUM(I82:K82)</f>
        <v>0</v>
      </c>
    </row>
    <row r="83" spans="1:20">
      <c r="A83" s="47">
        <f t="shared" si="3"/>
        <v>24</v>
      </c>
      <c r="B83" s="48" t="s">
        <v>88</v>
      </c>
      <c r="C83" s="2"/>
      <c r="D83" s="2"/>
      <c r="E83" s="111"/>
      <c r="F83" s="111"/>
      <c r="G83" s="111"/>
      <c r="H83" s="50">
        <f>A83</f>
        <v>24</v>
      </c>
      <c r="I83" s="117">
        <v>0</v>
      </c>
      <c r="J83" s="117">
        <v>0</v>
      </c>
      <c r="K83" s="117">
        <f>IF(D8&gt;=H9,K138,0)</f>
        <v>0</v>
      </c>
      <c r="L83" s="117">
        <f t="shared" si="4"/>
        <v>0</v>
      </c>
    </row>
    <row r="84" spans="1:20">
      <c r="A84" s="47">
        <f>A83+1</f>
        <v>25</v>
      </c>
      <c r="B84" s="119" t="s">
        <v>89</v>
      </c>
      <c r="C84" s="11"/>
      <c r="D84" s="11"/>
      <c r="E84" s="111"/>
      <c r="F84" s="111"/>
      <c r="G84" s="111"/>
      <c r="H84" s="50">
        <f>A84</f>
        <v>25</v>
      </c>
      <c r="I84" s="120">
        <f>IF(D8&gt;=H9,MIN(I79,K140),0)</f>
        <v>0</v>
      </c>
      <c r="J84" s="120">
        <f>IF(D8&gt;=H9,MIN(J79,K140-I84),0)</f>
        <v>0</v>
      </c>
      <c r="K84" s="121">
        <f>IF(D8&gt;=H9,MIN(K79,K140-J84),0)</f>
        <v>0</v>
      </c>
      <c r="L84" s="120">
        <f>SUM(I84:K84)</f>
        <v>0</v>
      </c>
    </row>
    <row r="85" spans="1:20">
      <c r="A85" s="47"/>
      <c r="B85" s="119"/>
      <c r="C85" s="11"/>
      <c r="D85" s="11"/>
      <c r="E85" s="111"/>
      <c r="F85" s="111"/>
      <c r="G85" s="111"/>
      <c r="H85" s="50"/>
      <c r="I85" s="122"/>
      <c r="J85" s="122"/>
      <c r="K85" s="123"/>
      <c r="L85" s="122"/>
    </row>
    <row r="86" spans="1:20">
      <c r="A86" s="47">
        <f>A84+1</f>
        <v>26</v>
      </c>
      <c r="B86" s="48" t="s">
        <v>90</v>
      </c>
      <c r="C86" s="11"/>
      <c r="D86" s="11"/>
      <c r="E86" s="111"/>
      <c r="F86" s="111"/>
      <c r="G86" s="111"/>
      <c r="H86" s="50"/>
      <c r="I86" s="124">
        <f>I79-I84</f>
        <v>129770000</v>
      </c>
      <c r="J86" s="124">
        <f>J79-J84</f>
        <v>9270000</v>
      </c>
      <c r="K86" s="124">
        <f>K79-K84</f>
        <v>10960000</v>
      </c>
      <c r="L86" s="124">
        <f>SUM(I86:K86)</f>
        <v>150000000</v>
      </c>
    </row>
    <row r="87" spans="1:20">
      <c r="A87" s="47">
        <f>A86+1</f>
        <v>27</v>
      </c>
      <c r="B87" s="3" t="s">
        <v>91</v>
      </c>
      <c r="C87" s="2"/>
      <c r="D87" s="2"/>
      <c r="E87" s="111"/>
      <c r="F87" s="111"/>
      <c r="G87" s="111"/>
      <c r="H87" s="50">
        <f>A87</f>
        <v>27</v>
      </c>
      <c r="I87" s="125">
        <f>(I86/I78)</f>
        <v>1</v>
      </c>
      <c r="J87" s="125">
        <f t="shared" ref="J87:K87" si="5">(J86/J78)</f>
        <v>1</v>
      </c>
      <c r="K87" s="125">
        <f t="shared" si="5"/>
        <v>1</v>
      </c>
      <c r="L87" s="125">
        <f>L86/L78</f>
        <v>1</v>
      </c>
      <c r="T87" s="126"/>
    </row>
    <row r="88" spans="1:20">
      <c r="A88" s="2"/>
      <c r="B88" s="2"/>
      <c r="C88" s="2"/>
      <c r="D88" s="2"/>
      <c r="E88" s="2"/>
      <c r="F88" s="2"/>
      <c r="G88" s="109"/>
      <c r="H88" s="109"/>
      <c r="I88" s="109"/>
      <c r="J88" s="72"/>
      <c r="K88" s="72"/>
      <c r="L88" s="72"/>
      <c r="T88" s="126"/>
    </row>
    <row r="89" spans="1:20">
      <c r="A89" s="43" t="s">
        <v>92</v>
      </c>
      <c r="B89" s="44" t="s">
        <v>93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09"/>
      <c r="H91" s="109"/>
      <c r="I91" s="109"/>
      <c r="J91" s="72"/>
      <c r="K91" s="72"/>
      <c r="L91" s="72"/>
    </row>
    <row r="92" spans="1:20" ht="24" customHeight="1">
      <c r="A92" s="2"/>
      <c r="B92" s="203" t="s">
        <v>94</v>
      </c>
      <c r="C92" s="203"/>
      <c r="D92" s="127" t="s">
        <v>95</v>
      </c>
      <c r="E92" s="127" t="s">
        <v>96</v>
      </c>
      <c r="F92" s="127" t="s">
        <v>97</v>
      </c>
      <c r="G92" s="203" t="s">
        <v>98</v>
      </c>
      <c r="H92" s="203"/>
      <c r="I92" s="109"/>
      <c r="J92" s="72"/>
      <c r="K92" s="72"/>
      <c r="L92" s="72"/>
    </row>
    <row r="93" spans="1:20">
      <c r="A93" s="47">
        <f>H87+1</f>
        <v>28</v>
      </c>
      <c r="B93" s="200">
        <f>I79</f>
        <v>129770000</v>
      </c>
      <c r="C93" s="201"/>
      <c r="D93" s="128">
        <v>3.8300000000000001E-2</v>
      </c>
      <c r="E93" s="129">
        <v>30</v>
      </c>
      <c r="F93" s="129" t="s">
        <v>99</v>
      </c>
      <c r="G93" s="202">
        <f>B93*(D93/360)*E93</f>
        <v>414182.58333333331</v>
      </c>
      <c r="H93" s="202"/>
      <c r="I93" s="109"/>
      <c r="J93" s="130"/>
      <c r="K93" s="72"/>
      <c r="L93" s="72"/>
      <c r="S93" s="131"/>
    </row>
    <row r="94" spans="1:20">
      <c r="A94" s="47">
        <f>A93+1</f>
        <v>29</v>
      </c>
      <c r="B94" s="200">
        <f>J79</f>
        <v>9270000</v>
      </c>
      <c r="C94" s="201"/>
      <c r="D94" s="128">
        <v>4.2799999999999998E-2</v>
      </c>
      <c r="E94" s="129">
        <v>30</v>
      </c>
      <c r="F94" s="129" t="s">
        <v>99</v>
      </c>
      <c r="G94" s="202">
        <f t="shared" ref="G94:G95" si="6">B94*(D94/360)*E94</f>
        <v>33063</v>
      </c>
      <c r="H94" s="202"/>
      <c r="I94" s="109"/>
      <c r="J94" s="130"/>
      <c r="K94" s="72"/>
      <c r="L94" s="72"/>
    </row>
    <row r="95" spans="1:20">
      <c r="A95" s="47">
        <f>A94+1</f>
        <v>30</v>
      </c>
      <c r="B95" s="200">
        <f>K79</f>
        <v>10960000</v>
      </c>
      <c r="C95" s="201"/>
      <c r="D95" s="128">
        <v>4.87E-2</v>
      </c>
      <c r="E95" s="129">
        <v>30</v>
      </c>
      <c r="F95" s="129" t="s">
        <v>99</v>
      </c>
      <c r="G95" s="202">
        <f t="shared" si="6"/>
        <v>44479.333333333336</v>
      </c>
      <c r="H95" s="202"/>
      <c r="I95" s="109"/>
      <c r="J95" s="82"/>
      <c r="K95" s="72"/>
      <c r="L95" s="72"/>
    </row>
    <row r="96" spans="1:20">
      <c r="A96" s="47"/>
      <c r="B96" s="72"/>
      <c r="C96" s="72"/>
      <c r="D96" s="72"/>
      <c r="E96" s="72"/>
      <c r="F96" s="72"/>
      <c r="G96" s="17"/>
      <c r="H96" s="17"/>
      <c r="I96" s="109"/>
      <c r="J96" s="72"/>
      <c r="K96" s="72"/>
      <c r="L96" s="72"/>
    </row>
    <row r="97" spans="1:19">
      <c r="A97" s="47"/>
      <c r="B97" s="72"/>
      <c r="C97" s="72"/>
      <c r="D97" s="72"/>
      <c r="E97" s="72"/>
      <c r="F97" s="72"/>
      <c r="G97" s="17"/>
      <c r="H97" s="17"/>
      <c r="I97" s="109"/>
      <c r="J97" s="72"/>
      <c r="K97" s="72"/>
      <c r="L97" s="72"/>
    </row>
    <row r="98" spans="1:19">
      <c r="A98" s="43" t="s">
        <v>100</v>
      </c>
      <c r="B98" s="44" t="s">
        <v>101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2"/>
      <c r="C100" s="72"/>
      <c r="D100" s="72"/>
      <c r="E100" s="72"/>
      <c r="F100" s="72"/>
      <c r="G100" s="17"/>
      <c r="H100" s="17"/>
      <c r="I100" s="109"/>
      <c r="J100" s="72"/>
      <c r="K100" s="72"/>
      <c r="L100" s="72"/>
    </row>
    <row r="101" spans="1:19">
      <c r="A101" s="47">
        <f>A95+1</f>
        <v>31</v>
      </c>
      <c r="B101" s="132" t="s">
        <v>102</v>
      </c>
      <c r="C101" s="72"/>
      <c r="D101" s="72"/>
      <c r="E101" s="72"/>
      <c r="F101" s="72"/>
      <c r="G101" s="17"/>
      <c r="H101" s="17"/>
      <c r="I101" s="109"/>
      <c r="J101" s="133"/>
      <c r="K101" s="50">
        <f>A101</f>
        <v>31</v>
      </c>
      <c r="L101" s="51">
        <f>L79</f>
        <v>150000000</v>
      </c>
    </row>
    <row r="102" spans="1:19">
      <c r="A102" s="47">
        <f>A101+1</f>
        <v>32</v>
      </c>
      <c r="B102" s="132" t="s">
        <v>103</v>
      </c>
      <c r="C102" s="72"/>
      <c r="D102" s="72"/>
      <c r="E102" s="72"/>
      <c r="F102" s="72"/>
      <c r="G102" s="17"/>
      <c r="H102" s="17"/>
      <c r="I102" s="109"/>
      <c r="J102" s="72"/>
      <c r="K102" s="50">
        <f t="shared" ref="K102:K105" si="7">A102</f>
        <v>32</v>
      </c>
      <c r="L102" s="52">
        <f>(L161+K134+K136+K138)</f>
        <v>0</v>
      </c>
      <c r="S102" s="54"/>
    </row>
    <row r="103" spans="1:19">
      <c r="A103" s="47">
        <f t="shared" ref="A103:A105" si="8">A102+1</f>
        <v>33</v>
      </c>
      <c r="B103" s="132" t="s">
        <v>104</v>
      </c>
      <c r="C103" s="72"/>
      <c r="D103" s="72"/>
      <c r="E103" s="72"/>
      <c r="F103" s="72"/>
      <c r="G103" s="17"/>
      <c r="H103" s="17"/>
      <c r="I103" s="109"/>
      <c r="J103" s="72"/>
      <c r="K103" s="50">
        <f t="shared" si="7"/>
        <v>33</v>
      </c>
      <c r="L103" s="52">
        <f>L34</f>
        <v>152108913.56</v>
      </c>
    </row>
    <row r="104" spans="1:19">
      <c r="A104" s="47">
        <f t="shared" si="8"/>
        <v>34</v>
      </c>
      <c r="B104" s="132" t="s">
        <v>69</v>
      </c>
      <c r="C104" s="72"/>
      <c r="D104" s="72"/>
      <c r="E104" s="72"/>
      <c r="F104" s="72"/>
      <c r="G104" s="17"/>
      <c r="H104" s="17"/>
      <c r="I104" s="109"/>
      <c r="J104" s="133"/>
      <c r="K104" s="50">
        <f t="shared" si="7"/>
        <v>34</v>
      </c>
      <c r="L104" s="52">
        <f>(E62)</f>
        <v>18540824.890000001</v>
      </c>
    </row>
    <row r="105" spans="1:19">
      <c r="A105" s="47">
        <f t="shared" si="8"/>
        <v>35</v>
      </c>
      <c r="B105" s="132" t="s">
        <v>105</v>
      </c>
      <c r="C105" s="72"/>
      <c r="D105" s="72"/>
      <c r="E105" s="72"/>
      <c r="F105" s="72"/>
      <c r="G105" s="17"/>
      <c r="H105" s="17"/>
      <c r="I105" s="109"/>
      <c r="J105" s="133"/>
      <c r="K105" s="50">
        <f t="shared" si="7"/>
        <v>35</v>
      </c>
      <c r="L105" s="134">
        <f>L101-L102-(L103-L104)</f>
        <v>16431911.329999998</v>
      </c>
    </row>
    <row r="106" spans="1:19">
      <c r="A106" s="2"/>
      <c r="B106" s="2"/>
      <c r="C106" s="2"/>
      <c r="D106" s="2"/>
      <c r="E106" s="2"/>
      <c r="F106" s="2"/>
      <c r="G106" s="109"/>
      <c r="H106" s="109"/>
      <c r="I106" s="109"/>
      <c r="J106" s="72"/>
      <c r="K106" s="72"/>
      <c r="L106" s="72"/>
    </row>
    <row r="107" spans="1:19">
      <c r="A107" s="135" t="s">
        <v>106</v>
      </c>
      <c r="B107" s="44" t="s">
        <v>107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8"/>
    </row>
    <row r="109" spans="1:19">
      <c r="A109" s="136">
        <f>A105+1</f>
        <v>36</v>
      </c>
      <c r="B109" s="137" t="s">
        <v>108</v>
      </c>
      <c r="C109" s="137"/>
      <c r="D109" s="137"/>
      <c r="E109" s="137"/>
      <c r="F109" s="137"/>
      <c r="G109" s="2"/>
      <c r="H109" s="2"/>
      <c r="I109" s="2"/>
      <c r="J109" s="50">
        <f t="shared" ref="J109:J117" si="9">A109</f>
        <v>36</v>
      </c>
      <c r="K109" s="51">
        <f>'[1]Input Page'!AU2+'[1]Input Page'!J2</f>
        <v>15098495.43</v>
      </c>
      <c r="L109" s="2"/>
    </row>
    <row r="110" spans="1:19">
      <c r="A110" s="59">
        <f t="shared" ref="A110:A113" si="10">A109+1</f>
        <v>37</v>
      </c>
      <c r="B110" s="137" t="s">
        <v>109</v>
      </c>
      <c r="C110" s="137"/>
      <c r="D110" s="137"/>
      <c r="E110" s="138"/>
      <c r="F110" s="138"/>
      <c r="G110" s="2"/>
      <c r="H110" s="2"/>
      <c r="I110" s="2"/>
      <c r="J110" s="50">
        <f t="shared" si="9"/>
        <v>37</v>
      </c>
      <c r="K110" s="52">
        <f>'[1]Input Page'!AV2</f>
        <v>3736932.95</v>
      </c>
      <c r="L110" s="81"/>
      <c r="S110" s="65"/>
    </row>
    <row r="111" spans="1:19">
      <c r="A111" s="59">
        <f t="shared" si="10"/>
        <v>38</v>
      </c>
      <c r="B111" s="137" t="s">
        <v>110</v>
      </c>
      <c r="C111" s="137"/>
      <c r="D111" s="137"/>
      <c r="E111" s="138"/>
      <c r="F111" s="138"/>
      <c r="G111" s="2"/>
      <c r="H111" s="2"/>
      <c r="I111" s="2"/>
      <c r="J111" s="50">
        <f t="shared" si="9"/>
        <v>38</v>
      </c>
      <c r="K111" s="52">
        <f>'[1]Input Page'!AG2</f>
        <v>121475.21</v>
      </c>
      <c r="L111" s="139"/>
      <c r="R111" s="3" t="s">
        <v>111</v>
      </c>
    </row>
    <row r="112" spans="1:19">
      <c r="A112" s="59">
        <f>A111+1</f>
        <v>39</v>
      </c>
      <c r="B112" s="140" t="s">
        <v>112</v>
      </c>
      <c r="C112" s="137"/>
      <c r="D112" s="137"/>
      <c r="E112" s="137"/>
      <c r="F112" s="137"/>
      <c r="G112" s="2"/>
      <c r="H112" s="2"/>
      <c r="I112" s="2"/>
      <c r="J112" s="50">
        <f t="shared" si="9"/>
        <v>39</v>
      </c>
      <c r="K112" s="141">
        <f>'[1]Input Page'!AH2</f>
        <v>267382.44000000006</v>
      </c>
      <c r="L112" s="139"/>
      <c r="S112" s="7"/>
    </row>
    <row r="113" spans="1:20">
      <c r="A113" s="59">
        <f t="shared" si="10"/>
        <v>40</v>
      </c>
      <c r="B113" s="137" t="s">
        <v>113</v>
      </c>
      <c r="C113" s="137"/>
      <c r="D113" s="137"/>
      <c r="E113" s="137"/>
      <c r="F113" s="137"/>
      <c r="G113" s="2"/>
      <c r="H113" s="2"/>
      <c r="I113" s="2"/>
      <c r="J113" s="50">
        <f t="shared" si="9"/>
        <v>40</v>
      </c>
      <c r="K113" s="52">
        <f>'[1]Input Page'!AI2</f>
        <v>0</v>
      </c>
      <c r="L113" s="139"/>
      <c r="T113" s="142"/>
    </row>
    <row r="114" spans="1:20">
      <c r="A114" s="59">
        <f>A113+1</f>
        <v>41</v>
      </c>
      <c r="B114" s="137" t="s">
        <v>114</v>
      </c>
      <c r="C114" s="137"/>
      <c r="D114" s="137"/>
      <c r="E114" s="137"/>
      <c r="F114" s="137"/>
      <c r="G114" s="2"/>
      <c r="H114" s="2"/>
      <c r="I114" s="2"/>
      <c r="J114" s="50">
        <f t="shared" si="9"/>
        <v>41</v>
      </c>
      <c r="K114" s="141">
        <f>'[1]Input Page'!C10</f>
        <v>22633.03</v>
      </c>
      <c r="L114" s="139"/>
      <c r="T114" s="142"/>
    </row>
    <row r="115" spans="1:20">
      <c r="A115" s="59">
        <f t="shared" ref="A115" si="11">A114+1</f>
        <v>42</v>
      </c>
      <c r="B115" s="137" t="s">
        <v>115</v>
      </c>
      <c r="C115" s="137"/>
      <c r="D115" s="137"/>
      <c r="E115" s="137"/>
      <c r="F115" s="137"/>
      <c r="G115" s="2"/>
      <c r="H115" s="2"/>
      <c r="I115" s="2"/>
      <c r="J115" s="50">
        <f t="shared" si="9"/>
        <v>42</v>
      </c>
      <c r="K115" s="52">
        <f>'[1]Input Page'!C11</f>
        <v>0</v>
      </c>
      <c r="L115" s="139"/>
      <c r="T115" s="142"/>
    </row>
    <row r="116" spans="1:20">
      <c r="A116" s="59">
        <f>A115+1</f>
        <v>43</v>
      </c>
      <c r="B116" s="137" t="s">
        <v>116</v>
      </c>
      <c r="C116" s="137"/>
      <c r="D116" s="137"/>
      <c r="E116" s="137"/>
      <c r="F116" s="137"/>
      <c r="G116" s="2"/>
      <c r="H116" s="2"/>
      <c r="I116" s="2"/>
      <c r="J116" s="50">
        <f t="shared" si="9"/>
        <v>43</v>
      </c>
      <c r="K116" s="52">
        <f>L153</f>
        <v>1688068.22</v>
      </c>
      <c r="L116" s="139"/>
      <c r="T116" s="142"/>
    </row>
    <row r="117" spans="1:20">
      <c r="A117" s="59">
        <f>A116+1</f>
        <v>44</v>
      </c>
      <c r="B117" s="137" t="s">
        <v>117</v>
      </c>
      <c r="C117" s="137"/>
      <c r="D117" s="137"/>
      <c r="E117" s="137"/>
      <c r="F117" s="137"/>
      <c r="G117" s="2"/>
      <c r="H117" s="2"/>
      <c r="I117" s="2"/>
      <c r="J117" s="50">
        <f t="shared" si="9"/>
        <v>44</v>
      </c>
      <c r="K117" s="52">
        <f>'[1]Input Page'!C13</f>
        <v>0</v>
      </c>
      <c r="L117" s="139"/>
      <c r="S117" s="143"/>
      <c r="T117" s="142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4"/>
      <c r="K118" s="2"/>
      <c r="L118" s="2"/>
      <c r="T118" s="142"/>
    </row>
    <row r="119" spans="1:20">
      <c r="A119" s="47">
        <f>A117+1</f>
        <v>45</v>
      </c>
      <c r="B119" s="11" t="s">
        <v>118</v>
      </c>
      <c r="C119" s="2"/>
      <c r="D119" s="2"/>
      <c r="E119" s="2"/>
      <c r="F119" s="2"/>
      <c r="G119" s="144"/>
      <c r="H119" s="144"/>
      <c r="I119" s="144"/>
      <c r="J119" s="40"/>
      <c r="K119" s="50">
        <f>A119</f>
        <v>45</v>
      </c>
      <c r="L119" s="51">
        <f>SUM(K109:K117)</f>
        <v>20934987.280000001</v>
      </c>
      <c r="R119" s="3" t="s">
        <v>119</v>
      </c>
      <c r="S119" s="68"/>
    </row>
    <row r="120" spans="1:20">
      <c r="A120" s="47"/>
      <c r="B120" s="11"/>
      <c r="C120" s="2"/>
      <c r="D120" s="2"/>
      <c r="E120" s="2"/>
      <c r="F120" s="2"/>
      <c r="G120" s="144"/>
      <c r="H120" s="144"/>
      <c r="I120" s="144"/>
      <c r="J120" s="40"/>
      <c r="K120" s="50"/>
      <c r="L120" s="145"/>
      <c r="S120" s="68"/>
    </row>
    <row r="121" spans="1:20">
      <c r="A121" s="43" t="s">
        <v>120</v>
      </c>
      <c r="B121" s="44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f>A119+1</f>
        <v>46</v>
      </c>
      <c r="B123" s="2" t="s">
        <v>122</v>
      </c>
      <c r="C123" s="112"/>
      <c r="D123" s="146"/>
      <c r="E123" s="146"/>
      <c r="F123" s="146"/>
      <c r="G123" s="11"/>
      <c r="H123" s="11"/>
      <c r="I123" s="11"/>
      <c r="J123" s="50">
        <f t="shared" ref="J123:J144" si="12">A123</f>
        <v>46</v>
      </c>
      <c r="K123" s="51">
        <f>18000/12+'[1]Input Page'!C15</f>
        <v>1500</v>
      </c>
      <c r="L123" s="2"/>
      <c r="S123" s="7"/>
    </row>
    <row r="124" spans="1:20">
      <c r="A124" s="47">
        <f t="shared" ref="A124:A144" si="13">A123+1</f>
        <v>47</v>
      </c>
      <c r="B124" s="2" t="s">
        <v>123</v>
      </c>
      <c r="C124" s="112"/>
      <c r="D124" s="146"/>
      <c r="E124" s="146"/>
      <c r="F124" s="146"/>
      <c r="G124" s="11"/>
      <c r="H124" s="11"/>
      <c r="I124" s="11"/>
      <c r="J124" s="50">
        <f t="shared" si="12"/>
        <v>47</v>
      </c>
      <c r="K124" s="51">
        <f>'[1]Input Page'!AX2</f>
        <v>0</v>
      </c>
      <c r="L124" s="2"/>
      <c r="S124" s="7"/>
    </row>
    <row r="125" spans="1:20">
      <c r="A125" s="47">
        <f t="shared" si="13"/>
        <v>48</v>
      </c>
      <c r="B125" s="2" t="s">
        <v>124</v>
      </c>
      <c r="C125" s="112"/>
      <c r="D125" s="146"/>
      <c r="E125" s="146"/>
      <c r="F125" s="146"/>
      <c r="G125" s="11"/>
      <c r="H125" s="11"/>
      <c r="I125" s="11"/>
      <c r="J125" s="50">
        <f t="shared" si="12"/>
        <v>48</v>
      </c>
      <c r="K125" s="51">
        <f>'[1]Input Page'!C16</f>
        <v>0</v>
      </c>
      <c r="L125" s="2"/>
      <c r="S125" s="7"/>
    </row>
    <row r="126" spans="1:20">
      <c r="A126" s="47">
        <f t="shared" si="13"/>
        <v>49</v>
      </c>
      <c r="B126" s="2" t="s">
        <v>125</v>
      </c>
      <c r="C126" s="112"/>
      <c r="D126" s="112"/>
      <c r="E126" s="112"/>
      <c r="F126" s="112"/>
      <c r="G126" s="144"/>
      <c r="H126" s="144"/>
      <c r="I126" s="144"/>
      <c r="J126" s="50">
        <f t="shared" si="12"/>
        <v>49</v>
      </c>
      <c r="K126" s="52">
        <f>'[1]Input Page'!C17</f>
        <v>4649.2</v>
      </c>
      <c r="L126" s="147"/>
    </row>
    <row r="127" spans="1:20">
      <c r="A127" s="47">
        <f t="shared" si="13"/>
        <v>50</v>
      </c>
      <c r="B127" s="2" t="s">
        <v>126</v>
      </c>
      <c r="C127" s="112"/>
      <c r="D127" s="112"/>
      <c r="E127" s="112"/>
      <c r="F127" s="112"/>
      <c r="G127" s="144"/>
      <c r="H127" s="144"/>
      <c r="I127" s="144"/>
      <c r="J127" s="50">
        <f t="shared" si="12"/>
        <v>50</v>
      </c>
      <c r="K127" s="52">
        <f>'[1]Input Page'!AY2</f>
        <v>0</v>
      </c>
      <c r="L127" s="147"/>
    </row>
    <row r="128" spans="1:20">
      <c r="A128" s="47">
        <f t="shared" si="13"/>
        <v>51</v>
      </c>
      <c r="B128" s="2" t="s">
        <v>127</v>
      </c>
      <c r="C128" s="112"/>
      <c r="D128" s="112"/>
      <c r="E128" s="112"/>
      <c r="F128" s="112"/>
      <c r="G128" s="144"/>
      <c r="H128" s="144"/>
      <c r="I128" s="144"/>
      <c r="J128" s="50">
        <f t="shared" si="12"/>
        <v>51</v>
      </c>
      <c r="K128" s="52">
        <f>'[1]Input Page'!C19</f>
        <v>0</v>
      </c>
      <c r="L128" s="147"/>
    </row>
    <row r="129" spans="1:20">
      <c r="A129" s="47">
        <f t="shared" si="13"/>
        <v>52</v>
      </c>
      <c r="B129" s="2" t="s">
        <v>128</v>
      </c>
      <c r="C129" s="112"/>
      <c r="D129" s="112"/>
      <c r="E129" s="112"/>
      <c r="F129" s="112"/>
      <c r="G129" s="144"/>
      <c r="H129" s="144"/>
      <c r="I129" s="144"/>
      <c r="J129" s="50">
        <f t="shared" si="12"/>
        <v>52</v>
      </c>
      <c r="K129" s="52">
        <f>MIN(350000,'[1]Input Page'!C20)</f>
        <v>0</v>
      </c>
      <c r="L129" s="147"/>
    </row>
    <row r="130" spans="1:20">
      <c r="A130" s="47">
        <f t="shared" si="13"/>
        <v>53</v>
      </c>
      <c r="B130" s="2" t="s">
        <v>129</v>
      </c>
      <c r="C130" s="112"/>
      <c r="D130" s="112"/>
      <c r="E130" s="112"/>
      <c r="F130" s="112"/>
      <c r="G130" s="148"/>
      <c r="H130" s="148"/>
      <c r="I130" s="148"/>
      <c r="J130" s="50">
        <f t="shared" si="12"/>
        <v>53</v>
      </c>
      <c r="K130" s="149">
        <f>MAX(10000,(0.0007)*L16*(1/12))</f>
        <v>10000</v>
      </c>
      <c r="L130" s="147"/>
      <c r="Q130" s="150"/>
      <c r="R130" s="150"/>
      <c r="S130" s="150"/>
    </row>
    <row r="131" spans="1:20">
      <c r="A131" s="47">
        <f t="shared" si="13"/>
        <v>54</v>
      </c>
      <c r="B131" s="2" t="s">
        <v>130</v>
      </c>
      <c r="C131" s="112"/>
      <c r="D131" s="112"/>
      <c r="E131" s="112"/>
      <c r="F131" s="112"/>
      <c r="G131" s="144"/>
      <c r="H131" s="144"/>
      <c r="I131" s="144"/>
      <c r="J131" s="50">
        <f t="shared" si="12"/>
        <v>54</v>
      </c>
      <c r="K131" s="141">
        <f>MIN(250000,'[1]Input Page'!C21)</f>
        <v>0</v>
      </c>
      <c r="L131" s="147"/>
    </row>
    <row r="132" spans="1:20">
      <c r="A132" s="47">
        <f t="shared" si="13"/>
        <v>55</v>
      </c>
      <c r="B132" s="2" t="s">
        <v>131</v>
      </c>
      <c r="C132" s="112"/>
      <c r="D132" s="112"/>
      <c r="E132" s="112"/>
      <c r="F132" s="112"/>
      <c r="G132" s="144"/>
      <c r="H132" s="144"/>
      <c r="I132" s="144"/>
      <c r="J132" s="50">
        <f t="shared" si="12"/>
        <v>55</v>
      </c>
      <c r="K132" s="149">
        <f>(1/12)*(0.0475)*L16</f>
        <v>620036.7191333333</v>
      </c>
      <c r="L132" s="147"/>
    </row>
    <row r="133" spans="1:20">
      <c r="A133" s="47">
        <f t="shared" si="13"/>
        <v>56</v>
      </c>
      <c r="B133" s="2" t="s">
        <v>132</v>
      </c>
      <c r="C133" s="112"/>
      <c r="D133" s="112"/>
      <c r="E133" s="112"/>
      <c r="F133" s="112"/>
      <c r="G133" s="144"/>
      <c r="H133" s="144"/>
      <c r="I133" s="144"/>
      <c r="J133" s="50">
        <f t="shared" si="12"/>
        <v>56</v>
      </c>
      <c r="K133" s="52">
        <f>G93</f>
        <v>414182.58333333331</v>
      </c>
      <c r="L133" s="147"/>
      <c r="T133" s="150"/>
    </row>
    <row r="134" spans="1:20">
      <c r="A134" s="47">
        <f t="shared" si="13"/>
        <v>57</v>
      </c>
      <c r="B134" s="2" t="s">
        <v>133</v>
      </c>
      <c r="C134" s="112"/>
      <c r="D134" s="112"/>
      <c r="E134" s="112"/>
      <c r="F134" s="112"/>
      <c r="G134" s="144"/>
      <c r="H134" s="144"/>
      <c r="I134" s="144"/>
      <c r="J134" s="50">
        <f t="shared" si="12"/>
        <v>57</v>
      </c>
      <c r="K134" s="149">
        <f>MAX(0,I79-L27)</f>
        <v>0</v>
      </c>
      <c r="L134" s="147"/>
    </row>
    <row r="135" spans="1:20">
      <c r="A135" s="47">
        <f t="shared" si="13"/>
        <v>58</v>
      </c>
      <c r="B135" s="2" t="s">
        <v>134</v>
      </c>
      <c r="C135" s="112"/>
      <c r="D135" s="112"/>
      <c r="E135" s="112"/>
      <c r="F135" s="112"/>
      <c r="G135" s="144"/>
      <c r="H135" s="144"/>
      <c r="I135" s="144"/>
      <c r="J135" s="50">
        <f t="shared" si="12"/>
        <v>58</v>
      </c>
      <c r="K135" s="141">
        <f>G94</f>
        <v>33063</v>
      </c>
      <c r="L135" s="147"/>
    </row>
    <row r="136" spans="1:20">
      <c r="A136" s="47">
        <f t="shared" si="13"/>
        <v>59</v>
      </c>
      <c r="B136" s="2" t="s">
        <v>135</v>
      </c>
      <c r="C136" s="112"/>
      <c r="D136" s="112"/>
      <c r="E136" s="112"/>
      <c r="F136" s="112"/>
      <c r="G136" s="144"/>
      <c r="H136" s="144"/>
      <c r="I136" s="144"/>
      <c r="J136" s="50">
        <f t="shared" si="12"/>
        <v>59</v>
      </c>
      <c r="K136" s="149">
        <f>MAX(0,I79+J79-L27)-K134</f>
        <v>0</v>
      </c>
      <c r="L136" s="147"/>
      <c r="Q136" s="150"/>
      <c r="R136" s="150"/>
      <c r="S136" s="150"/>
    </row>
    <row r="137" spans="1:20">
      <c r="A137" s="47">
        <f t="shared" si="13"/>
        <v>60</v>
      </c>
      <c r="B137" s="2" t="s">
        <v>136</v>
      </c>
      <c r="C137" s="112"/>
      <c r="D137" s="112"/>
      <c r="E137" s="112"/>
      <c r="F137" s="112"/>
      <c r="G137" s="144"/>
      <c r="H137" s="144"/>
      <c r="I137" s="144"/>
      <c r="J137" s="50">
        <f t="shared" si="12"/>
        <v>60</v>
      </c>
      <c r="K137" s="141">
        <f>G95</f>
        <v>44479.333333333336</v>
      </c>
      <c r="L137" s="147"/>
    </row>
    <row r="138" spans="1:20">
      <c r="A138" s="47">
        <f t="shared" si="13"/>
        <v>61</v>
      </c>
      <c r="B138" s="2" t="s">
        <v>137</v>
      </c>
      <c r="C138" s="112"/>
      <c r="D138" s="112"/>
      <c r="E138" s="112"/>
      <c r="F138" s="112"/>
      <c r="G138" s="144"/>
      <c r="H138" s="144"/>
      <c r="I138" s="144"/>
      <c r="J138" s="50">
        <f t="shared" si="12"/>
        <v>61</v>
      </c>
      <c r="K138" s="141">
        <f>MAX(0,I79+J79+K79-L27)-K134-K136</f>
        <v>0</v>
      </c>
      <c r="L138" s="147"/>
    </row>
    <row r="139" spans="1:20">
      <c r="A139" s="47">
        <f t="shared" si="13"/>
        <v>62</v>
      </c>
      <c r="B139" s="2" t="s">
        <v>138</v>
      </c>
      <c r="C139" s="112"/>
      <c r="D139" s="112"/>
      <c r="E139" s="112"/>
      <c r="F139" s="112"/>
      <c r="G139" s="144"/>
      <c r="H139" s="144"/>
      <c r="I139" s="144"/>
      <c r="J139" s="50">
        <f t="shared" si="12"/>
        <v>62</v>
      </c>
      <c r="K139" s="52">
        <f>L154</f>
        <v>1685408.25</v>
      </c>
      <c r="L139" s="147"/>
    </row>
    <row r="140" spans="1:20">
      <c r="A140" s="47">
        <f t="shared" si="13"/>
        <v>63</v>
      </c>
      <c r="B140" s="2" t="s">
        <v>139</v>
      </c>
      <c r="C140" s="112"/>
      <c r="D140" s="112"/>
      <c r="E140" s="112"/>
      <c r="F140" s="112"/>
      <c r="G140" s="144"/>
      <c r="H140" s="144"/>
      <c r="I140" s="144"/>
      <c r="J140" s="50">
        <f t="shared" si="12"/>
        <v>63</v>
      </c>
      <c r="K140" s="134">
        <f>L101-L102-(L103-L104)</f>
        <v>16431911.329999998</v>
      </c>
      <c r="L140" s="147"/>
      <c r="T140" s="68"/>
    </row>
    <row r="141" spans="1:20">
      <c r="A141" s="47">
        <f t="shared" si="13"/>
        <v>64</v>
      </c>
      <c r="B141" s="2" t="s">
        <v>140</v>
      </c>
      <c r="C141" s="112"/>
      <c r="D141" s="112"/>
      <c r="E141" s="112"/>
      <c r="F141" s="112"/>
      <c r="G141" s="144"/>
      <c r="H141" s="144"/>
      <c r="I141" s="144"/>
      <c r="J141" s="50">
        <f t="shared" si="12"/>
        <v>64</v>
      </c>
      <c r="K141" s="52">
        <f>'[1]Input Page'!C22</f>
        <v>0</v>
      </c>
      <c r="L141" s="147"/>
      <c r="T141" s="68"/>
    </row>
    <row r="142" spans="1:20">
      <c r="A142" s="47">
        <f t="shared" si="13"/>
        <v>65</v>
      </c>
      <c r="B142" s="2" t="s">
        <v>141</v>
      </c>
      <c r="C142" s="112"/>
      <c r="D142" s="112"/>
      <c r="E142" s="112"/>
      <c r="F142" s="112"/>
      <c r="G142" s="144"/>
      <c r="H142" s="144"/>
      <c r="I142" s="144"/>
      <c r="J142" s="50">
        <f t="shared" si="12"/>
        <v>65</v>
      </c>
      <c r="K142" s="52">
        <f>'[1]Input Page'!C23</f>
        <v>0</v>
      </c>
      <c r="L142" s="147"/>
      <c r="Q142" s="150"/>
      <c r="R142" s="150"/>
      <c r="S142" s="150"/>
    </row>
    <row r="143" spans="1:20">
      <c r="A143" s="47">
        <f t="shared" si="13"/>
        <v>66</v>
      </c>
      <c r="B143" s="2" t="s">
        <v>142</v>
      </c>
      <c r="C143" s="112"/>
      <c r="D143" s="112"/>
      <c r="E143" s="112"/>
      <c r="F143" s="112"/>
      <c r="G143" s="144"/>
      <c r="H143" s="144"/>
      <c r="I143" s="144"/>
      <c r="J143" s="50">
        <f t="shared" si="12"/>
        <v>66</v>
      </c>
      <c r="K143" s="52">
        <f>'[1]Input Page'!C24+MAX(0,L36-L105)</f>
        <v>896.64000000245869</v>
      </c>
      <c r="L143" s="147"/>
      <c r="S143" s="7"/>
    </row>
    <row r="144" spans="1:20">
      <c r="A144" s="47">
        <f t="shared" si="13"/>
        <v>67</v>
      </c>
      <c r="B144" s="2" t="s">
        <v>143</v>
      </c>
      <c r="C144" s="112"/>
      <c r="D144" s="112"/>
      <c r="E144" s="112"/>
      <c r="F144" s="112"/>
      <c r="G144" s="144"/>
      <c r="H144" s="144"/>
      <c r="I144" s="144"/>
      <c r="J144" s="50">
        <f t="shared" si="12"/>
        <v>67</v>
      </c>
      <c r="K144" s="52">
        <f>L119-SUM(K123:K143)</f>
        <v>1688860.2242000028</v>
      </c>
      <c r="L144" s="147"/>
    </row>
    <row r="145" spans="1:20">
      <c r="A145" s="47"/>
      <c r="B145" s="151"/>
      <c r="C145" s="49"/>
      <c r="D145" s="112"/>
      <c r="E145" s="112"/>
      <c r="F145" s="112"/>
      <c r="G145" s="112"/>
      <c r="H145" s="112"/>
      <c r="I145" s="112"/>
      <c r="J145" s="144"/>
      <c r="K145" s="152"/>
      <c r="L145" s="2"/>
      <c r="T145" s="54"/>
    </row>
    <row r="146" spans="1:20">
      <c r="A146" s="47">
        <f>A144+1</f>
        <v>68</v>
      </c>
      <c r="B146" s="11" t="s">
        <v>144</v>
      </c>
      <c r="C146" s="2"/>
      <c r="D146" s="2"/>
      <c r="E146" s="2"/>
      <c r="F146" s="2"/>
      <c r="G146" s="2"/>
      <c r="H146" s="2"/>
      <c r="I146" s="2"/>
      <c r="J146" s="144"/>
      <c r="K146" s="144">
        <f>A146</f>
        <v>68</v>
      </c>
      <c r="L146" s="51">
        <f>SUM(K123:K144)</f>
        <v>20934987.280000001</v>
      </c>
    </row>
    <row r="147" spans="1:20">
      <c r="A147" s="47"/>
      <c r="B147" s="48"/>
      <c r="C147" s="41"/>
      <c r="D147" s="2"/>
      <c r="E147" s="153"/>
      <c r="F147" s="154"/>
      <c r="G147" s="155"/>
      <c r="H147" s="155"/>
      <c r="I147" s="155"/>
      <c r="J147" s="153"/>
      <c r="K147" s="156"/>
      <c r="L147" s="156"/>
    </row>
    <row r="148" spans="1:20">
      <c r="A148" s="47"/>
      <c r="B148" s="48"/>
      <c r="C148" s="41"/>
      <c r="D148" s="2"/>
      <c r="E148" s="153"/>
      <c r="F148" s="154"/>
      <c r="G148" s="155"/>
      <c r="H148" s="155"/>
      <c r="I148" s="155"/>
      <c r="J148" s="37"/>
      <c r="K148" s="156"/>
      <c r="L148" s="156"/>
    </row>
    <row r="149" spans="1:20">
      <c r="A149" s="43" t="s">
        <v>145</v>
      </c>
      <c r="B149" s="44" t="s">
        <v>146</v>
      </c>
      <c r="C149" s="45"/>
      <c r="D149" s="45"/>
      <c r="E149" s="45"/>
      <c r="F149" s="45"/>
      <c r="G149" s="45" t="s">
        <v>147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7" t="s">
        <v>148</v>
      </c>
      <c r="C151" s="11"/>
      <c r="D151" s="2"/>
      <c r="E151" s="2"/>
      <c r="F151" s="2"/>
      <c r="G151" s="48"/>
      <c r="H151" s="48"/>
      <c r="I151" s="48"/>
      <c r="J151" s="111"/>
      <c r="K151" s="17"/>
      <c r="L151" s="158"/>
    </row>
    <row r="152" spans="1:20">
      <c r="A152" s="157"/>
      <c r="B152" s="2"/>
      <c r="C152" s="11"/>
      <c r="D152" s="2"/>
      <c r="E152" s="2"/>
      <c r="F152" s="2"/>
      <c r="G152" s="48"/>
      <c r="H152" s="48"/>
      <c r="I152" s="48"/>
      <c r="J152" s="111"/>
      <c r="K152" s="17"/>
      <c r="L152" s="158"/>
    </row>
    <row r="153" spans="1:20">
      <c r="A153" s="47">
        <f>A146+1</f>
        <v>69</v>
      </c>
      <c r="B153" s="2" t="s">
        <v>149</v>
      </c>
      <c r="C153" s="11"/>
      <c r="D153" s="2"/>
      <c r="E153" s="2"/>
      <c r="F153" s="2"/>
      <c r="G153" s="48"/>
      <c r="H153" s="48"/>
      <c r="I153" s="48"/>
      <c r="J153" s="81"/>
      <c r="K153" s="144">
        <f>A153</f>
        <v>69</v>
      </c>
      <c r="L153" s="51">
        <f>'[1]Input Page'!C26</f>
        <v>1688068.22</v>
      </c>
    </row>
    <row r="154" spans="1:20">
      <c r="A154" s="47">
        <f>A153+1</f>
        <v>70</v>
      </c>
      <c r="B154" s="2" t="s">
        <v>150</v>
      </c>
      <c r="C154" s="11"/>
      <c r="D154" s="2"/>
      <c r="E154" s="2"/>
      <c r="F154" s="2"/>
      <c r="G154" s="48"/>
      <c r="H154" s="48"/>
      <c r="I154" s="48"/>
      <c r="J154" s="48"/>
      <c r="K154" s="144">
        <f t="shared" ref="K154:K157" si="14">A154</f>
        <v>70</v>
      </c>
      <c r="L154" s="52">
        <v>1685408.25</v>
      </c>
    </row>
    <row r="155" spans="1:20">
      <c r="A155" s="47">
        <f>A154+1</f>
        <v>71</v>
      </c>
      <c r="B155" s="2" t="s">
        <v>151</v>
      </c>
      <c r="C155" s="11"/>
      <c r="D155" s="2"/>
      <c r="E155" s="2"/>
      <c r="F155" s="2"/>
      <c r="G155" s="48"/>
      <c r="H155" s="48"/>
      <c r="I155" s="48"/>
      <c r="J155" s="159"/>
      <c r="K155" s="144">
        <f t="shared" si="14"/>
        <v>71</v>
      </c>
      <c r="L155" s="52">
        <f>-K116</f>
        <v>-1688068.22</v>
      </c>
    </row>
    <row r="156" spans="1:20">
      <c r="A156" s="47">
        <f>A155+1</f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48"/>
      <c r="K156" s="144">
        <f t="shared" si="14"/>
        <v>72</v>
      </c>
      <c r="L156" s="52">
        <f>K139</f>
        <v>1685408.25</v>
      </c>
    </row>
    <row r="157" spans="1:20">
      <c r="A157" s="47">
        <f>A156+1</f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4">
        <f t="shared" si="14"/>
        <v>73</v>
      </c>
      <c r="L157" s="52">
        <f>L153+L155+L156</f>
        <v>1685408.25</v>
      </c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4"/>
      <c r="L158" s="145"/>
    </row>
    <row r="159" spans="1:20">
      <c r="A159" s="3"/>
      <c r="B159" s="157" t="s">
        <v>154</v>
      </c>
      <c r="C159" s="11"/>
      <c r="D159" s="2"/>
      <c r="E159" s="2"/>
      <c r="F159" s="2"/>
      <c r="G159" s="48"/>
      <c r="H159" s="48"/>
      <c r="I159" s="48"/>
      <c r="J159" s="49"/>
      <c r="K159" s="144"/>
      <c r="L159" s="145"/>
    </row>
    <row r="160" spans="1:20">
      <c r="A160" s="157"/>
      <c r="B160" s="2"/>
      <c r="C160" s="11"/>
      <c r="D160" s="2"/>
      <c r="E160" s="2"/>
      <c r="F160" s="2"/>
      <c r="G160" s="48"/>
      <c r="H160" s="48"/>
      <c r="I160" s="48"/>
      <c r="J160" s="49"/>
      <c r="K160" s="144"/>
      <c r="L160" s="145"/>
    </row>
    <row r="161" spans="1:12">
      <c r="A161" s="47">
        <f>A157+1</f>
        <v>74</v>
      </c>
      <c r="B161" s="2" t="s">
        <v>155</v>
      </c>
      <c r="C161" s="11"/>
      <c r="D161" s="2"/>
      <c r="E161" s="2"/>
      <c r="F161" s="2"/>
      <c r="G161" s="48"/>
      <c r="H161" s="48"/>
      <c r="I161" s="48"/>
      <c r="J161" s="81"/>
      <c r="K161" s="144">
        <f>A161</f>
        <v>74</v>
      </c>
      <c r="L161" s="51">
        <f>'[1]Input Page'!C58</f>
        <v>0</v>
      </c>
    </row>
    <row r="162" spans="1:12">
      <c r="A162" s="47">
        <f>A161+1</f>
        <v>75</v>
      </c>
      <c r="B162" s="2" t="s">
        <v>156</v>
      </c>
      <c r="C162" s="11"/>
      <c r="D162" s="2"/>
      <c r="E162" s="2"/>
      <c r="F162" s="2"/>
      <c r="G162" s="48"/>
      <c r="H162" s="48"/>
      <c r="I162" s="48"/>
      <c r="J162" s="48"/>
      <c r="K162" s="144">
        <f>A162</f>
        <v>75</v>
      </c>
      <c r="L162" s="52">
        <f>K140+K143 +K134+K136+K138</f>
        <v>16432807.970000001</v>
      </c>
    </row>
    <row r="163" spans="1:12">
      <c r="A163" s="47">
        <f>A162+1</f>
        <v>76</v>
      </c>
      <c r="B163" s="2" t="s">
        <v>157</v>
      </c>
      <c r="C163" s="11"/>
      <c r="D163" s="2"/>
      <c r="E163" s="2"/>
      <c r="F163" s="2"/>
      <c r="G163" s="48"/>
      <c r="H163" s="48"/>
      <c r="I163" s="48"/>
      <c r="J163" s="48"/>
      <c r="K163" s="144">
        <f>A163</f>
        <v>76</v>
      </c>
      <c r="L163" s="52">
        <f>IF($D$8&gt;=$H$9,$L$162,0)</f>
        <v>0</v>
      </c>
    </row>
    <row r="164" spans="1:12">
      <c r="A164" s="47">
        <f>A163+1</f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48"/>
      <c r="K164" s="144">
        <f>A164</f>
        <v>77</v>
      </c>
      <c r="L164" s="52">
        <f>-IF($D$8&lt;$H$9,$L$162,0)</f>
        <v>-16432807.970000001</v>
      </c>
    </row>
    <row r="165" spans="1:12">
      <c r="A165" s="47">
        <f>A164+1</f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4">
        <f>A165</f>
        <v>78</v>
      </c>
      <c r="L165" s="52">
        <f>L161-L162+L163-L164</f>
        <v>0</v>
      </c>
    </row>
    <row r="166" spans="1:12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60"/>
    </row>
    <row r="167" spans="1:12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4"/>
      <c r="L167" s="145"/>
    </row>
    <row r="168" spans="1:12">
      <c r="A168" s="161"/>
      <c r="B168" s="2"/>
      <c r="C168" s="2"/>
      <c r="D168" s="2"/>
      <c r="E168" s="2"/>
      <c r="F168" s="2"/>
      <c r="G168" s="48"/>
      <c r="H168" s="48"/>
      <c r="I168" s="48"/>
      <c r="J168" s="49"/>
      <c r="K168" s="148"/>
      <c r="L168" s="162"/>
    </row>
    <row r="169" spans="1:12">
      <c r="A169" s="43" t="s">
        <v>160</v>
      </c>
      <c r="B169" s="44" t="s">
        <v>161</v>
      </c>
      <c r="C169" s="45"/>
      <c r="D169" s="45"/>
      <c r="E169" s="45"/>
      <c r="F169" s="45"/>
      <c r="G169" s="45" t="s">
        <v>147</v>
      </c>
      <c r="H169" s="45"/>
      <c r="I169" s="45"/>
      <c r="J169" s="45"/>
      <c r="K169" s="45"/>
      <c r="L169" s="46"/>
    </row>
    <row r="170" spans="1:12">
      <c r="A170" s="47"/>
      <c r="B170" s="2"/>
      <c r="C170" s="11"/>
      <c r="D170" s="2"/>
      <c r="E170" s="2"/>
      <c r="F170" s="2"/>
      <c r="G170" s="48"/>
      <c r="H170" s="48"/>
      <c r="I170" s="48"/>
      <c r="J170" s="111"/>
      <c r="K170" s="17"/>
      <c r="L170" s="158"/>
    </row>
    <row r="171" spans="1:12">
      <c r="A171" s="157" t="s">
        <v>162</v>
      </c>
      <c r="B171" s="81"/>
      <c r="C171" s="11"/>
      <c r="D171" s="2"/>
      <c r="E171" s="2"/>
      <c r="F171" s="2"/>
      <c r="G171" s="48"/>
      <c r="H171" s="48"/>
      <c r="I171" s="48"/>
      <c r="J171" s="111"/>
      <c r="K171" s="144"/>
      <c r="L171" s="162"/>
    </row>
    <row r="172" spans="1:12">
      <c r="A172" s="163"/>
      <c r="B172" s="157"/>
      <c r="C172" s="11"/>
      <c r="D172" s="2"/>
      <c r="E172" s="2"/>
      <c r="F172" s="2"/>
      <c r="G172" s="48"/>
      <c r="H172" s="48"/>
      <c r="I172" s="48"/>
      <c r="J172" s="111"/>
      <c r="K172" s="144"/>
      <c r="L172" s="162"/>
    </row>
    <row r="173" spans="1:12">
      <c r="A173" s="163"/>
      <c r="B173" s="50">
        <f>A165+1</f>
        <v>79</v>
      </c>
      <c r="C173" s="163" t="s">
        <v>163</v>
      </c>
      <c r="D173" s="11"/>
      <c r="E173" s="2"/>
      <c r="F173" s="2"/>
      <c r="G173" s="48"/>
      <c r="H173" s="48"/>
      <c r="I173" s="48"/>
      <c r="J173" s="111"/>
      <c r="K173" s="144">
        <f>B173</f>
        <v>79</v>
      </c>
      <c r="L173" s="51">
        <f>'[1]Input Page'!K2</f>
        <v>1262672.7</v>
      </c>
    </row>
    <row r="174" spans="1:12">
      <c r="A174" s="163"/>
      <c r="B174" s="50">
        <f>B173+1</f>
        <v>80</v>
      </c>
      <c r="C174" s="163" t="s">
        <v>164</v>
      </c>
      <c r="D174" s="11"/>
      <c r="E174" s="2"/>
      <c r="F174" s="2"/>
      <c r="G174" s="2"/>
      <c r="H174" s="2"/>
      <c r="I174" s="2"/>
      <c r="J174" s="111"/>
      <c r="K174" s="144">
        <f>B174</f>
        <v>80</v>
      </c>
      <c r="L174" s="52">
        <f>K112</f>
        <v>267382.44000000006</v>
      </c>
    </row>
    <row r="175" spans="1:12">
      <c r="A175" s="163"/>
      <c r="B175" s="50">
        <f>B174+1</f>
        <v>81</v>
      </c>
      <c r="C175" s="163" t="s">
        <v>165</v>
      </c>
      <c r="D175" s="2"/>
      <c r="E175" s="2"/>
      <c r="F175" s="2"/>
      <c r="G175" s="2"/>
      <c r="H175" s="2"/>
      <c r="I175" s="2"/>
      <c r="J175" s="111"/>
      <c r="K175" s="144">
        <f>B175</f>
        <v>81</v>
      </c>
      <c r="L175" s="164">
        <f>L16</f>
        <v>156640855.36000001</v>
      </c>
    </row>
    <row r="176" spans="1:12">
      <c r="A176" s="163"/>
      <c r="B176" s="50"/>
      <c r="C176" s="163"/>
      <c r="D176" s="2"/>
      <c r="E176" s="2"/>
      <c r="F176" s="2"/>
      <c r="G176" s="2"/>
      <c r="H176" s="2"/>
      <c r="I176" s="2"/>
      <c r="J176" s="111"/>
      <c r="K176" s="144"/>
      <c r="L176" s="165"/>
    </row>
    <row r="177" spans="1:19">
      <c r="A177" s="163"/>
      <c r="B177" s="2"/>
      <c r="C177" s="2"/>
      <c r="D177" s="2"/>
      <c r="E177" s="2"/>
      <c r="F177" s="2"/>
      <c r="G177" s="2"/>
      <c r="H177" s="2"/>
      <c r="I177" s="2"/>
      <c r="J177" s="67" t="s">
        <v>166</v>
      </c>
      <c r="K177" s="67" t="s">
        <v>167</v>
      </c>
      <c r="L177" s="67" t="s">
        <v>168</v>
      </c>
    </row>
    <row r="178" spans="1:19">
      <c r="A178" s="163"/>
      <c r="B178" s="50">
        <f>B175+1</f>
        <v>82</v>
      </c>
      <c r="C178" s="163" t="s">
        <v>162</v>
      </c>
      <c r="D178" s="11"/>
      <c r="E178" s="2"/>
      <c r="F178" s="2"/>
      <c r="G178" s="2"/>
      <c r="I178" s="144">
        <f>B178</f>
        <v>82</v>
      </c>
      <c r="J178" s="166">
        <f>'[1]Input Page'!AL2</f>
        <v>8.5000000000000006E-3</v>
      </c>
      <c r="K178" s="128">
        <f>'[1]Input Page'!AM2</f>
        <v>7.3099999999999998E-2</v>
      </c>
      <c r="L178" s="167">
        <f>IFERROR((L173-L174)/L175,0)*12</f>
        <v>7.6247560654280622E-2</v>
      </c>
    </row>
    <row r="179" spans="1:19" ht="21.75" customHeight="1">
      <c r="A179" s="163"/>
      <c r="B179" s="50">
        <f>B178+1</f>
        <v>83</v>
      </c>
      <c r="C179" s="163" t="s">
        <v>169</v>
      </c>
      <c r="D179" s="11"/>
      <c r="E179" s="2"/>
      <c r="F179" s="2"/>
      <c r="G179" s="2"/>
      <c r="H179" s="144"/>
      <c r="I179" s="144"/>
      <c r="J179" s="168"/>
      <c r="K179" s="144">
        <f>B179</f>
        <v>83</v>
      </c>
      <c r="L179" s="169">
        <f>AVERAGE(J178:L178)</f>
        <v>5.2615853551426874E-2</v>
      </c>
    </row>
    <row r="180" spans="1:19">
      <c r="A180" s="163"/>
      <c r="B180" s="50">
        <f t="shared" ref="B180:B181" si="15">B178+1</f>
        <v>83</v>
      </c>
      <c r="C180" s="163" t="s">
        <v>170</v>
      </c>
      <c r="D180" s="170"/>
      <c r="E180" s="2"/>
      <c r="F180" s="163"/>
      <c r="G180" s="2"/>
      <c r="H180" s="170"/>
      <c r="I180" s="170"/>
      <c r="J180" s="168"/>
      <c r="K180" s="144">
        <f>B180</f>
        <v>83</v>
      </c>
      <c r="L180" s="169">
        <v>0.17</v>
      </c>
    </row>
    <row r="181" spans="1:19">
      <c r="A181" s="163"/>
      <c r="B181" s="50">
        <f t="shared" si="15"/>
        <v>84</v>
      </c>
      <c r="C181" s="163" t="s">
        <v>56</v>
      </c>
      <c r="D181" s="171"/>
      <c r="E181" s="2"/>
      <c r="F181" s="163"/>
      <c r="G181" s="2"/>
      <c r="H181" s="171"/>
      <c r="I181" s="171"/>
      <c r="J181" s="168"/>
      <c r="K181" s="144">
        <f>B181</f>
        <v>84</v>
      </c>
      <c r="L181" s="172" t="str">
        <f>IF(L179&lt;L180,"Yes","No")</f>
        <v>Yes</v>
      </c>
    </row>
    <row r="182" spans="1:19">
      <c r="A182" s="163"/>
      <c r="B182" s="50"/>
      <c r="C182" s="163"/>
      <c r="D182" s="11"/>
      <c r="E182" s="2"/>
      <c r="F182" s="2"/>
      <c r="G182" s="2"/>
      <c r="H182" s="144"/>
      <c r="I182" s="144"/>
      <c r="J182" s="168"/>
      <c r="K182" s="144"/>
      <c r="L182" s="170"/>
    </row>
    <row r="183" spans="1:19">
      <c r="A183" s="163"/>
      <c r="B183" s="163"/>
      <c r="C183" s="11"/>
      <c r="D183" s="2"/>
      <c r="E183" s="2"/>
      <c r="F183" s="2"/>
      <c r="G183" s="2"/>
      <c r="H183" s="2"/>
      <c r="I183" s="2"/>
      <c r="J183" s="49"/>
      <c r="K183" s="144"/>
      <c r="L183" s="49"/>
    </row>
    <row r="184" spans="1:19">
      <c r="A184" s="157" t="s">
        <v>171</v>
      </c>
      <c r="B184" s="81"/>
      <c r="C184" s="11"/>
      <c r="D184" s="2"/>
      <c r="E184" s="2"/>
      <c r="F184" s="2"/>
      <c r="G184" s="48"/>
      <c r="H184" s="48"/>
      <c r="I184" s="48"/>
      <c r="J184" s="111"/>
      <c r="K184" s="144"/>
      <c r="L184" s="162"/>
    </row>
    <row r="185" spans="1:19" ht="24" customHeight="1">
      <c r="A185" s="163"/>
      <c r="B185" s="157"/>
      <c r="C185" s="11"/>
      <c r="D185" s="2"/>
      <c r="E185" s="2"/>
      <c r="F185" s="2"/>
      <c r="G185" s="48"/>
      <c r="H185" s="48"/>
      <c r="I185" s="48"/>
      <c r="J185" s="67" t="s">
        <v>166</v>
      </c>
      <c r="K185" s="67" t="s">
        <v>167</v>
      </c>
      <c r="L185" s="67" t="s">
        <v>168</v>
      </c>
    </row>
    <row r="186" spans="1:19">
      <c r="A186" s="163"/>
      <c r="B186" s="50">
        <f>B181+1</f>
        <v>85</v>
      </c>
      <c r="C186" s="163" t="s">
        <v>172</v>
      </c>
      <c r="D186" s="11"/>
      <c r="E186" s="2"/>
      <c r="F186" s="2"/>
      <c r="G186" s="48"/>
      <c r="H186" s="48"/>
      <c r="I186" s="144">
        <f>B186</f>
        <v>85</v>
      </c>
      <c r="J186" s="166" t="str">
        <f>'[1]Input Page'!AN2</f>
        <v>No</v>
      </c>
      <c r="K186" s="173" t="str">
        <f>'[1]Input Page'!AO2</f>
        <v>No</v>
      </c>
      <c r="L186" s="173" t="str">
        <f>L73</f>
        <v>No</v>
      </c>
      <c r="M186" s="2"/>
      <c r="N186" s="2"/>
      <c r="O186" s="2"/>
      <c r="P186" s="2"/>
      <c r="Q186" s="2"/>
      <c r="R186" s="2"/>
    </row>
    <row r="187" spans="1:19" ht="23.25" customHeight="1">
      <c r="A187" s="163"/>
      <c r="B187" s="50">
        <f>B186+1</f>
        <v>86</v>
      </c>
      <c r="C187" s="163" t="s">
        <v>173</v>
      </c>
      <c r="D187" s="171"/>
      <c r="E187" s="2"/>
      <c r="F187" s="163"/>
      <c r="G187" s="2"/>
      <c r="H187" s="171"/>
      <c r="I187" s="171"/>
      <c r="J187" s="168"/>
      <c r="K187" s="144">
        <f>B187</f>
        <v>86</v>
      </c>
      <c r="L187" s="174" t="str">
        <f>IF(AND(L186="yes",K186="yes",J186="yes"),"No","Yes")</f>
        <v>Yes</v>
      </c>
      <c r="S187" s="163"/>
    </row>
    <row r="188" spans="1:19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5"/>
    </row>
    <row r="189" spans="1:19">
      <c r="A189" s="43" t="s">
        <v>174</v>
      </c>
      <c r="B189" s="44" t="s">
        <v>175</v>
      </c>
      <c r="C189" s="45"/>
      <c r="D189" s="45"/>
      <c r="E189" s="45"/>
      <c r="F189" s="45"/>
      <c r="G189" s="45" t="s">
        <v>147</v>
      </c>
      <c r="H189" s="45"/>
      <c r="I189" s="45"/>
      <c r="J189" s="45"/>
      <c r="K189" s="45"/>
      <c r="L189" s="46"/>
    </row>
    <row r="190" spans="1:19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9">
      <c r="A191" s="49"/>
      <c r="B191" s="49"/>
      <c r="C191" s="49" t="s">
        <v>176</v>
      </c>
      <c r="D191" s="49"/>
      <c r="E191" s="49"/>
      <c r="F191" s="49"/>
      <c r="G191" s="49"/>
      <c r="H191" s="49"/>
      <c r="I191" s="49"/>
      <c r="J191" s="176"/>
      <c r="K191" s="177" t="s">
        <v>177</v>
      </c>
      <c r="L191" s="10" t="s">
        <v>178</v>
      </c>
      <c r="M191" s="178" t="s">
        <v>179</v>
      </c>
      <c r="N191" s="3" t="s">
        <v>177</v>
      </c>
      <c r="O191" s="3" t="s">
        <v>179</v>
      </c>
    </row>
    <row r="192" spans="1:19">
      <c r="A192" s="49"/>
      <c r="B192" s="50">
        <f>B187+1</f>
        <v>87</v>
      </c>
      <c r="C192" s="49" t="s">
        <v>180</v>
      </c>
      <c r="D192" s="49"/>
      <c r="E192" s="49"/>
      <c r="F192" s="179"/>
      <c r="G192" s="49"/>
      <c r="H192" s="179"/>
      <c r="I192" s="179"/>
      <c r="J192" s="180">
        <f t="shared" ref="J192:J197" si="16">B192</f>
        <v>87</v>
      </c>
      <c r="K192" s="181">
        <f>'[1]Input Page'!AP2</f>
        <v>3574804.45</v>
      </c>
      <c r="L192" s="182">
        <f>K192/$L$27</f>
        <v>2.3501610565313146E-2</v>
      </c>
      <c r="M192" s="183" t="e">
        <f>L192/#REF!</f>
        <v>#REF!</v>
      </c>
      <c r="N192" s="7">
        <v>621627.06000000006</v>
      </c>
      <c r="O192" s="131">
        <v>2.5378026036555514E-2</v>
      </c>
    </row>
    <row r="193" spans="1:15">
      <c r="A193" s="49"/>
      <c r="B193" s="50">
        <f>B192+1</f>
        <v>88</v>
      </c>
      <c r="C193" s="49" t="s">
        <v>181</v>
      </c>
      <c r="D193" s="49"/>
      <c r="E193" s="49"/>
      <c r="F193" s="179"/>
      <c r="G193" s="49"/>
      <c r="H193" s="179"/>
      <c r="I193" s="179"/>
      <c r="J193" s="180">
        <f t="shared" si="16"/>
        <v>88</v>
      </c>
      <c r="K193" s="118">
        <f>'[1]Input Page'!AQ2</f>
        <v>2280938.58</v>
      </c>
      <c r="L193" s="184">
        <f>K193/$L$27</f>
        <v>1.4995430094241482E-2</v>
      </c>
      <c r="M193" s="185" t="e">
        <f>L193/#REF!</f>
        <v>#REF!</v>
      </c>
      <c r="N193" s="7">
        <v>402469.08</v>
      </c>
      <c r="O193" s="131">
        <v>1.6430865784942732E-2</v>
      </c>
    </row>
    <row r="194" spans="1:15">
      <c r="A194" s="49"/>
      <c r="B194" s="50">
        <f t="shared" ref="B194:B197" si="17">B193+1</f>
        <v>89</v>
      </c>
      <c r="C194" s="49" t="s">
        <v>182</v>
      </c>
      <c r="D194" s="49"/>
      <c r="E194" s="49"/>
      <c r="F194" s="179"/>
      <c r="G194" s="49"/>
      <c r="H194" s="179"/>
      <c r="I194" s="179"/>
      <c r="J194" s="180">
        <f t="shared" si="16"/>
        <v>89</v>
      </c>
      <c r="K194" s="118">
        <f>'[1]Input Page'!AR2</f>
        <v>1672792.92</v>
      </c>
      <c r="L194" s="184">
        <f>K194/$L$27</f>
        <v>1.099733658501321E-2</v>
      </c>
      <c r="M194" s="185" t="e">
        <f>L194/#REF!</f>
        <v>#REF!</v>
      </c>
      <c r="N194" s="7">
        <v>184389.7</v>
      </c>
      <c r="O194" s="131">
        <v>7.5277395541189281E-3</v>
      </c>
    </row>
    <row r="195" spans="1:15">
      <c r="A195" s="49"/>
      <c r="B195" s="50">
        <f t="shared" si="17"/>
        <v>90</v>
      </c>
      <c r="C195" s="49" t="s">
        <v>183</v>
      </c>
      <c r="D195" s="49"/>
      <c r="E195" s="49"/>
      <c r="F195" s="179"/>
      <c r="G195" s="49"/>
      <c r="H195" s="179"/>
      <c r="I195" s="179"/>
      <c r="J195" s="180">
        <f t="shared" si="16"/>
        <v>90</v>
      </c>
      <c r="K195" s="118">
        <f>'[1]Input Page'!AS2</f>
        <v>1401749.41</v>
      </c>
      <c r="L195" s="184">
        <f>K195/$L$27</f>
        <v>9.2154323977014924E-3</v>
      </c>
      <c r="M195" s="185"/>
      <c r="N195" s="7"/>
      <c r="O195" s="131"/>
    </row>
    <row r="196" spans="1:15">
      <c r="A196" s="49"/>
      <c r="B196" s="50">
        <f t="shared" si="17"/>
        <v>91</v>
      </c>
      <c r="C196" s="49" t="s">
        <v>184</v>
      </c>
      <c r="D196" s="49"/>
      <c r="E196" s="49"/>
      <c r="F196" s="179"/>
      <c r="G196" s="49"/>
      <c r="H196" s="179"/>
      <c r="I196" s="179"/>
      <c r="J196" s="180">
        <f t="shared" si="16"/>
        <v>91</v>
      </c>
      <c r="K196" s="186">
        <f>'[1]Input Page'!AT2</f>
        <v>1039764.56</v>
      </c>
      <c r="L196" s="187">
        <f>K196/$L$27</f>
        <v>6.8356583165644696E-3</v>
      </c>
      <c r="M196" s="185" t="e">
        <f>L196/#REF!</f>
        <v>#REF!</v>
      </c>
      <c r="N196" s="7">
        <v>332501.37</v>
      </c>
      <c r="O196" s="131">
        <v>1.3574422620936704E-2</v>
      </c>
    </row>
    <row r="197" spans="1:15">
      <c r="A197" s="49"/>
      <c r="B197" s="50">
        <f t="shared" si="17"/>
        <v>92</v>
      </c>
      <c r="C197" s="49" t="s">
        <v>83</v>
      </c>
      <c r="D197" s="49"/>
      <c r="E197" s="49"/>
      <c r="F197" s="179"/>
      <c r="G197" s="49"/>
      <c r="H197" s="188"/>
      <c r="I197" s="188"/>
      <c r="J197" s="180">
        <f t="shared" si="16"/>
        <v>92</v>
      </c>
      <c r="K197" s="189">
        <f>SUM(K192:K196)</f>
        <v>9970049.9199999999</v>
      </c>
      <c r="L197" s="190">
        <f>SUM(L192:L196)</f>
        <v>6.55454679588338E-2</v>
      </c>
      <c r="M197" s="191" t="e">
        <f>L197/#REF!</f>
        <v>#REF!</v>
      </c>
      <c r="N197" s="7">
        <v>1540987.21</v>
      </c>
      <c r="O197" s="131">
        <v>6.2911053996553876E-2</v>
      </c>
    </row>
    <row r="198" spans="1:15">
      <c r="A198" s="49"/>
      <c r="B198" s="49"/>
      <c r="C198" s="49"/>
      <c r="D198" s="49"/>
      <c r="E198" s="49"/>
      <c r="F198" s="179"/>
      <c r="G198" s="49"/>
      <c r="H198" s="188"/>
      <c r="I198" s="188"/>
      <c r="J198" s="188"/>
      <c r="K198" s="192"/>
      <c r="L198" s="193"/>
      <c r="M198" s="194"/>
      <c r="N198" s="7"/>
      <c r="O198" s="131"/>
    </row>
    <row r="199" spans="1:15">
      <c r="A199" s="49"/>
      <c r="B199" s="49"/>
      <c r="C199" s="49"/>
      <c r="D199" s="49"/>
      <c r="E199" s="49"/>
      <c r="F199" s="179"/>
      <c r="G199" s="49"/>
      <c r="H199" s="188"/>
      <c r="I199" s="188"/>
      <c r="J199" s="188"/>
      <c r="K199" s="188"/>
      <c r="L199" s="193"/>
      <c r="M199" s="194"/>
      <c r="N199" s="7"/>
      <c r="O199" s="131"/>
    </row>
    <row r="200" spans="1:15">
      <c r="A200" s="49"/>
      <c r="B200" s="49"/>
      <c r="C200" s="2"/>
      <c r="D200" s="2"/>
      <c r="E200" s="2"/>
      <c r="F200" s="2"/>
      <c r="G200" s="49"/>
      <c r="H200" s="49"/>
      <c r="I200" s="49"/>
      <c r="J200" s="49"/>
      <c r="K200" s="49"/>
      <c r="L200" s="49"/>
    </row>
    <row r="201" spans="1:15" ht="18">
      <c r="A201" s="49"/>
      <c r="B201" s="49"/>
      <c r="C201" s="195"/>
      <c r="D201" s="196"/>
      <c r="E201" s="199"/>
      <c r="F201" s="2"/>
      <c r="G201" s="49"/>
      <c r="H201" s="49"/>
      <c r="I201" s="49"/>
      <c r="J201" s="49"/>
      <c r="K201" s="49"/>
      <c r="L201" s="49"/>
    </row>
    <row r="202" spans="1:15" ht="18">
      <c r="A202" s="49"/>
      <c r="B202" s="49"/>
      <c r="C202" s="195"/>
      <c r="D202" s="196"/>
      <c r="E202" s="195"/>
      <c r="F202" s="2"/>
      <c r="G202" s="49"/>
      <c r="H202" s="49"/>
      <c r="I202" s="49"/>
      <c r="J202" s="49"/>
      <c r="K202" s="49"/>
      <c r="L202" s="49"/>
    </row>
    <row r="203" spans="1:15" ht="18">
      <c r="A203" s="49"/>
      <c r="B203" s="49"/>
      <c r="C203" s="195"/>
      <c r="D203" s="196"/>
      <c r="E203" s="195"/>
      <c r="F203" s="2"/>
      <c r="G203" s="49"/>
      <c r="H203" s="49"/>
      <c r="I203" s="49"/>
      <c r="J203" s="49"/>
      <c r="K203" s="49"/>
      <c r="L203" s="49"/>
    </row>
    <row r="204" spans="1:15" ht="18">
      <c r="A204" s="49"/>
      <c r="B204" s="49"/>
      <c r="C204" s="195"/>
      <c r="D204" s="196"/>
      <c r="E204" s="197"/>
      <c r="F204" s="2"/>
      <c r="G204" s="49"/>
      <c r="H204" s="49"/>
      <c r="I204" s="49"/>
      <c r="J204" s="49"/>
      <c r="K204" s="49"/>
      <c r="L204" s="49"/>
    </row>
    <row r="205" spans="1:1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5"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</row>
  </sheetData>
  <mergeCells count="27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F59"/>
    <mergeCell ref="G59:G71"/>
    <mergeCell ref="C65:D65"/>
    <mergeCell ref="C67:D67"/>
    <mergeCell ref="B95:C95"/>
    <mergeCell ref="G95:H95"/>
    <mergeCell ref="B92:C92"/>
    <mergeCell ref="G92:H92"/>
    <mergeCell ref="B93:C93"/>
    <mergeCell ref="G93:H93"/>
    <mergeCell ref="B94:C94"/>
    <mergeCell ref="G94:H9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9" fitToHeight="0" orientation="portrait" r:id="rId1"/>
  <rowBreaks count="3" manualBreakCount="3">
    <brk id="88" max="11" man="1"/>
    <brk id="168" max="11" man="1"/>
    <brk id="206" max="10" man="1"/>
  </rowBreaks>
  <colBreaks count="2" manualBreakCount="2">
    <brk id="4" min="1" max="217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Robinson</dc:creator>
  <cp:lastModifiedBy>Rory Rumore</cp:lastModifiedBy>
  <dcterms:created xsi:type="dcterms:W3CDTF">2018-12-12T23:04:56Z</dcterms:created>
  <dcterms:modified xsi:type="dcterms:W3CDTF">2018-12-14T18:43:28Z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{4FEC26F3-DB53-4FD8-B16F-C982DEB49B7A}</vt:lpwstr>
  </property>
</Properties>
</file>